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ice" sheetId="1" state="visible" r:id="rId3"/>
    <sheet name="Normas" sheetId="2" state="visible" r:id="rId4"/>
    <sheet name="S2_PESTEL" sheetId="3" state="visible" r:id="rId5"/>
    <sheet name="S3_Carga" sheetId="4" state="visible" r:id="rId6"/>
    <sheet name="S3_Cadena" sheetId="5" state="visible" r:id="rId7"/>
    <sheet name="S4_Seleccion" sheetId="6" state="visible" r:id="rId8"/>
    <sheet name="S5_BSC" sheetId="7" state="visible" r:id="rId9"/>
    <sheet name="S5_TTD" sheetId="8" state="visible" r:id="rId10"/>
    <sheet name="S6_Localizacion" sheetId="9" state="visible" r:id="rId11"/>
    <sheet name="S6_Multicriterio" sheetId="10" state="visible" r:id="rId12"/>
    <sheet name="S6_Desinversion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<sst xmlns="http://schemas.openxmlformats.org/spreadsheetml/2006/main" count="388" uniqueCount="311">
  <si>
    <t xml:space="preserve">Planeación Estratégica · Herramientas de análisis</t>
  </si>
  <si>
    <t xml:space="preserve">Especialización en Planeación Tributaria · Docente: Alexander Zamora · Caso: Alimentos La Sabana S.A.S. (empresa ficticia) · Cifras en millones de pesos</t>
  </si>
  <si>
    <t xml:space="preserve">Cómo usar este libro</t>
  </si>
  <si>
    <t xml:space="preserve">•</t>
  </si>
  <si>
    <t xml:space="preserve">Cada hoja es una herramienta de una sesión, ya diligenciada con el caso. Los estudiantes pueden borrar las celdas amarillas y usarla con su propia empresa.</t>
  </si>
  <si>
    <t xml:space="preserve">Celdas amarillas con texto azul: datos editables. Celdas naranja: resultados clave.</t>
  </si>
  <si>
    <t xml:space="preserve">Las tarifas tributarias están en la hoja Normas: si una reforma las cambia, actualícelas allí y todo se recalcula.</t>
  </si>
  <si>
    <t xml:space="preserve">Normas verificadas a octubre de 2026. No reemplaza la asesoría tributaria para casos reales.</t>
  </si>
  <si>
    <t xml:space="preserve">Hojas</t>
  </si>
  <si>
    <t xml:space="preserve">Hoja</t>
  </si>
  <si>
    <t xml:space="preserve">Contenido</t>
  </si>
  <si>
    <t xml:space="preserve">Normas</t>
  </si>
  <si>
    <t xml:space="preserve">Parámetros tributarios vigentes (tarifas, UVT, topes) que usan las demás hojas</t>
  </si>
  <si>
    <t xml:space="preserve">S2_PESTEL</t>
  </si>
  <si>
    <t xml:space="preserve">Sesión 2: PESTEL ponderado (impacto × probabilidad), prioridad y resumen por dimensión</t>
  </si>
  <si>
    <t xml:space="preserve">S3_Carga</t>
  </si>
  <si>
    <t xml:space="preserve">Sesión 3: carga tributaria asumida y recaudada</t>
  </si>
  <si>
    <t xml:space="preserve">S3_Cadena</t>
  </si>
  <si>
    <t xml:space="preserve">Sesión 3: cadena de valor tributaria y mapa de calor (impacto × controlabilidad)</t>
  </si>
  <si>
    <t xml:space="preserve">S4_Seleccion</t>
  </si>
  <si>
    <t xml:space="preserve">Sesión 4: matriz de selección de estrategias DOFA con filtro de sustancia económica</t>
  </si>
  <si>
    <t xml:space="preserve">S5_BSC</t>
  </si>
  <si>
    <t xml:space="preserve">Sesión 5: Balanced Scorecard tributario con semáforo</t>
  </si>
  <si>
    <t xml:space="preserve">S5_TTD</t>
  </si>
  <si>
    <t xml:space="preserve">Sesión 5: control simplificado de la tasa mínima de tributación (15 %)</t>
  </si>
  <si>
    <t xml:space="preserve">S6_Localizacion</t>
  </si>
  <si>
    <t xml:space="preserve">Sesión 6: simulador de localización de la nueva planta (ordinario, zona franca, ZOMAC)</t>
  </si>
  <si>
    <t xml:space="preserve">S6_Multicriterio</t>
  </si>
  <si>
    <t xml:space="preserve">Sesión 6: decisión multicriterio con variables tributarias y no tributarias</t>
  </si>
  <si>
    <t xml:space="preserve">S6_Desinversion</t>
  </si>
  <si>
    <t xml:space="preserve">Sesión 6: venta de acciones vs. venta de activos de la filial</t>
  </si>
  <si>
    <t xml:space="preserve">Leyenda</t>
  </si>
  <si>
    <t xml:space="preserve">Dato editable</t>
  </si>
  <si>
    <t xml:space="preserve">Resultado clave</t>
  </si>
  <si>
    <t xml:space="preserve">Parámetros tributarios vigentes</t>
  </si>
  <si>
    <t xml:space="preserve">Verificados a octubre de 2026. Actualice esta hoja si cambia la ley.</t>
  </si>
  <si>
    <t xml:space="preserve">Parámetro</t>
  </si>
  <si>
    <t xml:space="preserve">Valor</t>
  </si>
  <si>
    <t xml:space="preserve">Fuente</t>
  </si>
  <si>
    <t xml:space="preserve">Tarifa general de renta, personas jurídicas</t>
  </si>
  <si>
    <t xml:space="preserve">Art. 240 ET (Ley 2277 de 2022)</t>
  </si>
  <si>
    <t xml:space="preserve">Tarifa preferencial zona franca (renta por exportaciones, con PIAV)</t>
  </si>
  <si>
    <t xml:space="preserve">Art. 240-1 ET; Sentencia C-205 de 2024</t>
  </si>
  <si>
    <t xml:space="preserve">ZOMAC medianas y grandes: % de la tarifa general 2022–2027</t>
  </si>
  <si>
    <t xml:space="preserve">Art. 237 Ley 1819 de 2016</t>
  </si>
  <si>
    <t xml:space="preserve">ZOMAC micro y pequeñas: % de la tarifa general 2025–2027</t>
  </si>
  <si>
    <t xml:space="preserve">Último año con tarifa reducida ZOMAC</t>
  </si>
  <si>
    <t xml:space="preserve">Art. 237 Ley 1819 de 2016 (tarifa plena desde 2028)</t>
  </si>
  <si>
    <t xml:space="preserve">Tasa mínima de tributación (TTD)</t>
  </si>
  <si>
    <t xml:space="preserve">Art. 240 par. 6 ET</t>
  </si>
  <si>
    <t xml:space="preserve">Ganancia ocasional, personas jurídicas</t>
  </si>
  <si>
    <t xml:space="preserve">Art. 313 ET</t>
  </si>
  <si>
    <t xml:space="preserve">UVT 2026 (pesos)</t>
  </si>
  <si>
    <t xml:space="preserve">Resolución DIAN (UVT 2026)</t>
  </si>
  <si>
    <t xml:space="preserve">Tope de ingresos régimen SIMPLE (UVT)</t>
  </si>
  <si>
    <t xml:space="preserve">Art. 905 ET</t>
  </si>
  <si>
    <t xml:space="preserve">Impuesto a comestibles ultraprocesados</t>
  </si>
  <si>
    <t xml:space="preserve">Arts. 513-6 y ss. ET (tarifa plena)</t>
  </si>
  <si>
    <t xml:space="preserve">Tope SIMPLE en pesos (2026)</t>
  </si>
  <si>
    <t xml:space="preserve">Sesión 2 · PESTEL ponderado con énfasis político-fiscal</t>
  </si>
  <si>
    <t xml:space="preserve">Califique impacto y probabilidad de 1 a 5. Puntaje = impacto × probabilidad (1 a 25).</t>
  </si>
  <si>
    <t xml:space="preserve">Factor</t>
  </si>
  <si>
    <t xml:space="preserve">Dimensión</t>
  </si>
  <si>
    <t xml:space="preserve">O / A</t>
  </si>
  <si>
    <t xml:space="preserve">Impacto (1-5)</t>
  </si>
  <si>
    <t xml:space="preserve">Probabilidad (1-5)</t>
  </si>
  <si>
    <t xml:space="preserve">Puntaje</t>
  </si>
  <si>
    <t xml:space="preserve">Prioridad</t>
  </si>
  <si>
    <t xml:space="preserve">Reformas tributarias frecuentes (7 leyes entre 2012 y 2022)</t>
  </si>
  <si>
    <t xml:space="preserve">Político-fiscal</t>
  </si>
  <si>
    <t xml:space="preserve">A</t>
  </si>
  <si>
    <t xml:space="preserve">Nuevo gobierno anuncia reforma pro-inversión</t>
  </si>
  <si>
    <t xml:space="preserve">O</t>
  </si>
  <si>
    <t xml:space="preserve">Impuesto a ultraprocesados en 20 % desde 2025</t>
  </si>
  <si>
    <t xml:space="preserve">Tarifa preferencial de zona franca para exportaciones (20 %)</t>
  </si>
  <si>
    <t xml:space="preserve">Fiscalización con facturación electrónica y analítica DIAN</t>
  </si>
  <si>
    <t xml:space="preserve">Tecnológico</t>
  </si>
  <si>
    <t xml:space="preserve">Consumidores que buscan productos saludables</t>
  </si>
  <si>
    <t xml:space="preserve">Social</t>
  </si>
  <si>
    <t xml:space="preserve">Inflación y tasas de interés a la baja</t>
  </si>
  <si>
    <t xml:space="preserve">Económico</t>
  </si>
  <si>
    <t xml:space="preserve">Tasa de cambio volátil</t>
  </si>
  <si>
    <t xml:space="preserve">Impuesto al carbono y a plásticos de un solo uso</t>
  </si>
  <si>
    <t xml:space="preserve">Ecológico</t>
  </si>
  <si>
    <t xml:space="preserve">TLC y acceso preferencial a mercados de exportación</t>
  </si>
  <si>
    <t xml:space="preserve">Legal</t>
  </si>
  <si>
    <t xml:space="preserve">Resumen por dimensión</t>
  </si>
  <si>
    <t xml:space="preserve">N.º factores</t>
  </si>
  <si>
    <t xml:space="preserve">Puntaje oportunidades</t>
  </si>
  <si>
    <t xml:space="preserve">Puntaje amenazas</t>
  </si>
  <si>
    <t xml:space="preserve">Balance (O − A)</t>
  </si>
  <si>
    <t xml:space="preserve">Total</t>
  </si>
  <si>
    <t xml:space="preserve">Lectura: un balance negativo indica una dimensión donde predominan las amenazas. En el caso, el político-fiscal concentra las dos amenazas críticas.</t>
  </si>
  <si>
    <t xml:space="preserve">Sesión 3 · Carga tributaria de Alimentos La Sabana</t>
  </si>
  <si>
    <t xml:space="preserve">Millones de pesos, año 2025 (cifras ficticias)</t>
  </si>
  <si>
    <t xml:space="preserve">Ingresos operacionales</t>
  </si>
  <si>
    <t xml:space="preserve">Utilidad antes de impuestos</t>
  </si>
  <si>
    <t xml:space="preserve">Impuestos que asume la empresa (son gasto)</t>
  </si>
  <si>
    <t xml:space="preserve">Impuesto</t>
  </si>
  <si>
    <t xml:space="preserve">% de ingresos</t>
  </si>
  <si>
    <t xml:space="preserve">% de la UAI</t>
  </si>
  <si>
    <t xml:space="preserve">Impuesto de renta (35 %)</t>
  </si>
  <si>
    <t xml:space="preserve">ICA</t>
  </si>
  <si>
    <t xml:space="preserve">Aportes parafiscales (SENA, ICBF, cajas)</t>
  </si>
  <si>
    <t xml:space="preserve">Gravamen a los movimientos financieros</t>
  </si>
  <si>
    <t xml:space="preserve">Predial</t>
  </si>
  <si>
    <t xml:space="preserve">IVA no descontable</t>
  </si>
  <si>
    <t xml:space="preserve">Impuesto a plásticos de un solo uso</t>
  </si>
  <si>
    <t xml:space="preserve">Total carga asumida</t>
  </si>
  <si>
    <t xml:space="preserve">Impuestos que recauda para el Estado (no son gasto, sí responsabilidad)</t>
  </si>
  <si>
    <t xml:space="preserve">Concepto</t>
  </si>
  <si>
    <t xml:space="preserve">Impuesto a ultraprocesados (20 % sobre ventas de snacks)</t>
  </si>
  <si>
    <t xml:space="preserve">IVA generado neto</t>
  </si>
  <si>
    <t xml:space="preserve">Retenciones practicadas a terceros</t>
  </si>
  <si>
    <t xml:space="preserve">Total recaudado</t>
  </si>
  <si>
    <t xml:space="preserve">El impuesto a ultraprocesados se calcula sobre el 55 % de los ingresos (línea de snacks). Encarece el precio al consumidor y por esa vía afecta las ventas.</t>
  </si>
  <si>
    <t xml:space="preserve">Sesión 3 · Cadena de valor tributaria</t>
  </si>
  <si>
    <t xml:space="preserve">Impacto = peso fiscal de la actividad; controlabilidad = margen de decisión de la empresa. Prioridad = impacto × controlabilidad.</t>
  </si>
  <si>
    <t xml:space="preserve">Actividad (Porter)</t>
  </si>
  <si>
    <t xml:space="preserve">Tipo</t>
  </si>
  <si>
    <t xml:space="preserve">Puntos de contacto tributario</t>
  </si>
  <si>
    <t xml:space="preserve">Controlabilidad (1-5)</t>
  </si>
  <si>
    <t xml:space="preserve">Oportunidad lícita identificada</t>
  </si>
  <si>
    <t xml:space="preserve">Logística de entrada</t>
  </si>
  <si>
    <t xml:space="preserve">Primaria</t>
  </si>
  <si>
    <t xml:space="preserve">Aranceles e IVA en importación de insumos; retenciones a proveedores; soportes de costos.</t>
  </si>
  <si>
    <t xml:space="preserve">Revisar acuerdos comerciales y origen de insumos.</t>
  </si>
  <si>
    <t xml:space="preserve">Operaciones</t>
  </si>
  <si>
    <t xml:space="preserve">Depreciación; incentivos a energías renovables; impuesto a plásticos de empaque; ICA industrial.</t>
  </si>
  <si>
    <t xml:space="preserve">Evaluar incentivos por energías renovables y empaques alternativos.</t>
  </si>
  <si>
    <t xml:space="preserve">Logística de salida</t>
  </si>
  <si>
    <t xml:space="preserve">Exportaciones (IVA exento con devolución); régimen de zona franca; ICA según municipio.</t>
  </si>
  <si>
    <t xml:space="preserve">Planta exportadora como usuario industrial de zona franca con PIAV.</t>
  </si>
  <si>
    <t xml:space="preserve">Mercadeo y ventas</t>
  </si>
  <si>
    <t xml:space="preserve">Impuesto a ultraprocesados sobre el 55 % de las ventas; IVA; política de precios y descuentos.</t>
  </si>
  <si>
    <t xml:space="preserve">Reformular productos y crecer en líneas no gravadas.</t>
  </si>
  <si>
    <t xml:space="preserve">Servicio</t>
  </si>
  <si>
    <t xml:space="preserve">Devoluciones y notas crédito electrónicas.</t>
  </si>
  <si>
    <t xml:space="preserve">Infraestructura de la empresa</t>
  </si>
  <si>
    <t xml:space="preserve">Apoyo</t>
  </si>
  <si>
    <t xml:space="preserve">Estructura societaria, dividendos, renta, tasa mínima de tributación, cumplimiento.</t>
  </si>
  <si>
    <t xml:space="preserve">Revisar estructura de la filial de panadería (desinversión).</t>
  </si>
  <si>
    <t xml:space="preserve">Recursos humanos</t>
  </si>
  <si>
    <t xml:space="preserve">Aportes parafiscales y seguridad social; nómina electrónica.</t>
  </si>
  <si>
    <t xml:space="preserve">Desarrollo tecnológico</t>
  </si>
  <si>
    <t xml:space="preserve">Beneficios por inversión en ciencia, tecnología e innovación (art. 256 ET, con calificación).</t>
  </si>
  <si>
    <t xml:space="preserve">Postular el proyecto de reformulación de productos.</t>
  </si>
  <si>
    <t xml:space="preserve">Abastecimiento</t>
  </si>
  <si>
    <t xml:space="preserve">Calidad de proveedores (facturas no soportadas); retenciones.</t>
  </si>
  <si>
    <t xml:space="preserve">Política de debida diligencia de proveedores.</t>
  </si>
  <si>
    <t xml:space="preserve">Actividad con mayor prioridad</t>
  </si>
  <si>
    <t xml:space="preserve">Sesión 4 · Matriz de selección de estrategias DOFA</t>
  </si>
  <si>
    <t xml:space="preserve">Califique cada estrategia de 1 a 5 en cada criterio. Si no tiene sustancia económica, se descarta.</t>
  </si>
  <si>
    <t xml:space="preserve">Pesos de los criterios</t>
  </si>
  <si>
    <t xml:space="preserve">Impacto en valor después de impuestos</t>
  </si>
  <si>
    <t xml:space="preserve">Riesgo normativo y de cumplimiento (5 = bajo riesgo)</t>
  </si>
  <si>
    <t xml:space="preserve">Factibilidad operativa</t>
  </si>
  <si>
    <t xml:space="preserve">Alineación con la visión</t>
  </si>
  <si>
    <t xml:space="preserve">Relación con grupos de interés y reputación</t>
  </si>
  <si>
    <t xml:space="preserve">Suma (debe ser 100 %)</t>
  </si>
  <si>
    <t xml:space="preserve">Estrategia</t>
  </si>
  <si>
    <t xml:space="preserve">Criterio 1</t>
  </si>
  <si>
    <t xml:space="preserve">Criterio 2</t>
  </si>
  <si>
    <t xml:space="preserve">Criterio 3</t>
  </si>
  <si>
    <t xml:space="preserve">Criterio 4</t>
  </si>
  <si>
    <t xml:space="preserve">Criterio 5</t>
  </si>
  <si>
    <t xml:space="preserve">¿Sustancia económica?</t>
  </si>
  <si>
    <t xml:space="preserve">Planta exportadora de pulpas como usuario industrial de zona franca con PIAV</t>
  </si>
  <si>
    <t xml:space="preserve">FO</t>
  </si>
  <si>
    <t xml:space="preserve">Sí</t>
  </si>
  <si>
    <t xml:space="preserve">Integrar al área de impuestos al comité de inversiones y fortalecer comercio exterior</t>
  </si>
  <si>
    <t xml:space="preserve">DO</t>
  </si>
  <si>
    <t xml:space="preserve">Monitoreo legislativo y planeación por escenarios ante reformas</t>
  </si>
  <si>
    <t xml:space="preserve">FA</t>
  </si>
  <si>
    <t xml:space="preserve">Reformular snacks y vender la filial de panadería</t>
  </si>
  <si>
    <t xml:space="preserve">DA</t>
  </si>
  <si>
    <t xml:space="preserve">Escindir la empresa en varias sociedades pequeñas para usar el régimen SIMPLE</t>
  </si>
  <si>
    <t xml:space="preserve">Ejemplo de abuso</t>
  </si>
  <si>
    <t xml:space="preserve">No</t>
  </si>
  <si>
    <t xml:space="preserve">Estrategia con mayor puntaje</t>
  </si>
  <si>
    <t xml:space="preserve">La última fila muestra por qué el filtro de sustancia económica va primero: ahorra impuestos, pero dividir una empresa sin propósito de negocio es abuso (art. 869 ET) y, además, el SIMPLE excluye sociedades resultantes de escisiones en los 5 años anteriores.</t>
  </si>
  <si>
    <t xml:space="preserve">Sesión 5 · Balanced Scorecard tributario</t>
  </si>
  <si>
    <t xml:space="preserve">Sentido: "Mayor" si más es mejor, "Menor" si menos es mejor. Verde = cumple la meta; amarillo = dentro de la tolerancia; rojo = fuera.</t>
  </si>
  <si>
    <t xml:space="preserve">Perspectiva</t>
  </si>
  <si>
    <t xml:space="preserve">Objetivo</t>
  </si>
  <si>
    <t xml:space="preserve">Indicador</t>
  </si>
  <si>
    <t xml:space="preserve">Sentido</t>
  </si>
  <si>
    <t xml:space="preserve">Meta</t>
  </si>
  <si>
    <t xml:space="preserve">Tolerancia</t>
  </si>
  <si>
    <t xml:space="preserve">Real</t>
  </si>
  <si>
    <t xml:space="preserve">Estado</t>
  </si>
  <si>
    <t xml:space="preserve">Responsable</t>
  </si>
  <si>
    <t xml:space="preserve">Frecuencia</t>
  </si>
  <si>
    <t xml:space="preserve">Financiera</t>
  </si>
  <si>
    <t xml:space="preserve">Evitar costos por incumplimiento</t>
  </si>
  <si>
    <t xml:space="preserve">Sanciones e intereses (millones $)</t>
  </si>
  <si>
    <t xml:space="preserve">Menor</t>
  </si>
  <si>
    <t xml:space="preserve">Director tributario</t>
  </si>
  <si>
    <t xml:space="preserve">Mensual</t>
  </si>
  <si>
    <t xml:space="preserve">Proteger la liquidez</t>
  </si>
  <si>
    <t xml:space="preserve">Días de recuperación de saldos a favor</t>
  </si>
  <si>
    <t xml:space="preserve">Tesorería</t>
  </si>
  <si>
    <t xml:space="preserve">Trimestral</t>
  </si>
  <si>
    <t xml:space="preserve">Controlar la tasa mínima</t>
  </si>
  <si>
    <t xml:space="preserve">Tasa de tributación depurada</t>
  </si>
  <si>
    <t xml:space="preserve">Mayor</t>
  </si>
  <si>
    <t xml:space="preserve">Anual</t>
  </si>
  <si>
    <t xml:space="preserve">Grupos de interés</t>
  </si>
  <si>
    <t xml:space="preserve">Ser un contribuyente confiable</t>
  </si>
  <si>
    <t xml:space="preserve">Declaraciones presentadas a tiempo</t>
  </si>
  <si>
    <t xml:space="preserve">Contador</t>
  </si>
  <si>
    <t xml:space="preserve">Responder a autoridades</t>
  </si>
  <si>
    <t xml:space="preserve">Requerimientos atendidos en plazo</t>
  </si>
  <si>
    <t xml:space="preserve">Procesos internos</t>
  </si>
  <si>
    <t xml:space="preserve">Asegurar soportes de costos</t>
  </si>
  <si>
    <t xml:space="preserve">Rechazo de facturas electrónicas</t>
  </si>
  <si>
    <t xml:space="preserve">Contabilidad</t>
  </si>
  <si>
    <t xml:space="preserve">Evaluar decisiones con impacto fiscal</t>
  </si>
  <si>
    <t xml:space="preserve">Inversiones &gt; $5.000 M con análisis tributario</t>
  </si>
  <si>
    <t xml:space="preserve">Planeación financiera</t>
  </si>
  <si>
    <t xml:space="preserve">Semestral</t>
  </si>
  <si>
    <t xml:space="preserve">Aprendizaje</t>
  </si>
  <si>
    <t xml:space="preserve">Anticipar cambios normativos</t>
  </si>
  <si>
    <t xml:space="preserve">Días para informe de impacto de una reforma</t>
  </si>
  <si>
    <t xml:space="preserve">Por evento</t>
  </si>
  <si>
    <t xml:space="preserve">Fortalecer capacidades</t>
  </si>
  <si>
    <t xml:space="preserve">Horas de capacitación por persona al año</t>
  </si>
  <si>
    <t xml:space="preserve">Gestión humana</t>
  </si>
  <si>
    <t xml:space="preserve">Resumen del tablero</t>
  </si>
  <si>
    <t xml:space="preserve">Verde</t>
  </si>
  <si>
    <t xml:space="preserve">Amarillo</t>
  </si>
  <si>
    <t xml:space="preserve">Rojo</t>
  </si>
  <si>
    <t xml:space="preserve">Nota: no se incluye una meta de "tasa efectiva lo más baja posible". La ETR debe ser la que corresponde a las decisiones de negocio y a los beneficios legales; una meta de ETR mínima incentiva conductas riesgosas.</t>
  </si>
  <si>
    <t xml:space="preserve">Sesión 5 · Control simplificado de la tasa mínima de tributación</t>
  </si>
  <si>
    <t xml:space="preserve">Versión didáctica. La depuración oficial (art. 240 par. 6 ET) tiene más componentes.</t>
  </si>
  <si>
    <t xml:space="preserve">Utilidad contable antes de impuestos</t>
  </si>
  <si>
    <t xml:space="preserve">(+/−) Diferencias permanentes que aumentan la renta</t>
  </si>
  <si>
    <t xml:space="preserve">(−) Rentas exentas, ingresos no gravados y ganancias ocasionales</t>
  </si>
  <si>
    <t xml:space="preserve">Utilidad depurada (UD)</t>
  </si>
  <si>
    <t xml:space="preserve">Impuesto neto de renta, después de descuentos tributarios (ID)</t>
  </si>
  <si>
    <t xml:space="preserve">Ejemplo con descuentos tributarios altos. Pruebe con 5.000.</t>
  </si>
  <si>
    <t xml:space="preserve">Tasa de tributación depurada (TTD = ID / UD)</t>
  </si>
  <si>
    <t xml:space="preserve">Impuesto a adicionar (IA)</t>
  </si>
  <si>
    <t xml:space="preserve">Si la TTD es inferior al 15 %, se adiciona impuesto hasta llegar al 15 %</t>
  </si>
  <si>
    <t xml:space="preserve">Mensaje: un beneficio tributario puede quedar parcialmente neutralizado por la tasa mínima. Por eso se controla como indicador del BSC. Están excluidos, entre otros, quienes aplican el régimen ZOMAC.</t>
  </si>
  <si>
    <t xml:space="preserve">Sesión 6 · Simulador de localización de la nueva planta exportadora</t>
  </si>
  <si>
    <t xml:space="preserve">Millones de pesos. Supuestos editables en amarillo. Tarifas desde la hoja Normas.</t>
  </si>
  <si>
    <t xml:space="preserve">Supuestos</t>
  </si>
  <si>
    <t xml:space="preserve">Utilidad antes de costos adicionales, 2027</t>
  </si>
  <si>
    <t xml:space="preserve">Crecimiento anual de la utilidad</t>
  </si>
  <si>
    <t xml:space="preserve">Tasa de descuento</t>
  </si>
  <si>
    <t xml:space="preserve">Participación de exportaciones en los ingresos (zona franca)</t>
  </si>
  <si>
    <t xml:space="preserve">Costos adicionales anuales en zona franca</t>
  </si>
  <si>
    <t xml:space="preserve">Operador, cumplimiento, PIAV</t>
  </si>
  <si>
    <t xml:space="preserve">Sobrecostos logísticos anuales en ZOMAC</t>
  </si>
  <si>
    <t xml:space="preserve">Probabilidad de incumplir el PIAV</t>
  </si>
  <si>
    <t xml:space="preserve">Tarifa combinada zona franca</t>
  </si>
  <si>
    <t xml:space="preserve">Proyección por opción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</si>
  <si>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</si>
  <si>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</si>
  <si>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</si>
  <si>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</si>
  <si>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</si>
  <si>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Año</t>
  </si>
  <si>
    <t xml:space="preserve">Utilidad antes de costos adicionales</t>
  </si>
  <si>
    <t xml:space="preserve">A. Ampliar planta en Mosquera (ordinario)</t>
  </si>
  <si>
    <t xml:space="preserve">Renta líquida</t>
  </si>
  <si>
    <t xml:space="preserve">Tarifa</t>
  </si>
  <si>
    <t xml:space="preserve">Impuesto de renta</t>
  </si>
  <si>
    <t xml:space="preserve">Flujo después de impuestos</t>
  </si>
  <si>
    <t xml:space="preserve">B. Usuario industrial de zona franca (con PIAV)</t>
  </si>
  <si>
    <t xml:space="preserve">C. Nueva sociedad en municipio ZOMAC (gran empresa)</t>
  </si>
  <si>
    <t xml:space="preserve">B2. Zona franca si incumple el PIAV</t>
  </si>
  <si>
    <t xml:space="preserve">Resultados</t>
  </si>
  <si>
    <t xml:space="preserve">Opción</t>
  </si>
  <si>
    <t xml:space="preserve">Impuesto 2027</t>
  </si>
  <si>
    <t xml:space="preserve">VP de impuestos</t>
  </si>
  <si>
    <t xml:space="preserve">VP del flujo</t>
  </si>
  <si>
    <t xml:space="preserve">B esperado (con probabilidad de incumplir el PIAV)</t>
  </si>
  <si>
    <t xml:space="preserve">Mejor opción por VP del flujo</t>
  </si>
  <si>
    <t xml:space="preserve">La ZOMAC paga el menor impuesto en 2027, pero el beneficio termina en 2027 y los sobrecostos logísticos lo anulan. Ejercicio: ¿con qué participación de exportaciones deja de convenir la zona franca?</t>
  </si>
  <si>
    <t xml:space="preserve">Sesión 6 · Decisión multicriterio de localización</t>
  </si>
  <si>
    <t xml:space="preserve">Pesos y calificaciones (1 a 5) editables. El impuesto es un criterio, no la decisión.</t>
  </si>
  <si>
    <t xml:space="preserve">Criterio</t>
  </si>
  <si>
    <t xml:space="preserve">Peso</t>
  </si>
  <si>
    <t xml:space="preserve">A. Mosquera</t>
  </si>
  <si>
    <t xml:space="preserve">B. Zona franca</t>
  </si>
  <si>
    <t xml:space="preserve">C. ZOMAC</t>
  </si>
  <si>
    <t xml:space="preserve">Valor después de impuestos</t>
  </si>
  <si>
    <t xml:space="preserve">Riesgo normativo y de cumplimiento</t>
  </si>
  <si>
    <t xml:space="preserve">Logística y acceso a mercados</t>
  </si>
  <si>
    <t xml:space="preserve">Talento y operación</t>
  </si>
  <si>
    <t xml:space="preserve">Reputación y relación con la comunidad</t>
  </si>
  <si>
    <t xml:space="preserve">Suma de pesos</t>
  </si>
  <si>
    <t xml:space="preserve">Puntaje ponderado</t>
  </si>
  <si>
    <t xml:space="preserve">Calificación del criterio de valor tomada del simulador: B genera el mayor VP, A el intermedio y C el menor.</t>
  </si>
  <si>
    <t xml:space="preserve">Sesión 6 · Venta de Panadería del Campo S.A.S.</t>
  </si>
  <si>
    <t xml:space="preserve">Comparación simplificada del impuesto para el vendedor. Millones de pesos.</t>
  </si>
  <si>
    <t xml:space="preserve">Precio ofrecido</t>
  </si>
  <si>
    <t xml:space="preserve">Costo fiscal de las acciones (poseídas desde 2018)</t>
  </si>
  <si>
    <t xml:space="preserve">Costo fiscal neto de los activos de la filial</t>
  </si>
  <si>
    <t xml:space="preserve">Depreciación deducida incluida en el costo (recuperable)</t>
  </si>
  <si>
    <t xml:space="preserve">Venta de acciones</t>
  </si>
  <si>
    <t xml:space="preserve">Venta de activos</t>
  </si>
  <si>
    <t xml:space="preserve">Utilidad</t>
  </si>
  <si>
    <t xml:space="preserve">Recuperación de deducciones (renta a tarifa general)</t>
  </si>
  <si>
    <t xml:space="preserve">Ganancia ocasional</t>
  </si>
  <si>
    <t xml:space="preserve">Impuesto sobre la recuperación</t>
  </si>
  <si>
    <t xml:space="preserve">Impuesto de ganancia ocasional</t>
  </si>
  <si>
    <t xml:space="preserve">Impuesto total</t>
  </si>
  <si>
    <t xml:space="preserve">En la venta de activos el dinero queda en la filial: llevarlo a la matriz (dividendos o liquidación) tiene efectos adicionales no incluidos aquí. El comprador suele preferir activos (no hereda contingencias), así que el precio se negocia.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</si>
</sst>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"/>
    <numFmt numFmtId="166" formatCode="0"/>
    <numFmt numFmtId="167" formatCode="#,##0"/>
    <numFmt numFmtId="168" formatCode="#,##0;[RED]\-#,##0;\-"/>
    <numFmt numFmtId="169" formatCode="0.00%"/>
    <numFmt numFmtId="170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C55A11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C55A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BE5D6"/>
      </patternFill>
    </fill>
    <fill>
      <patternFill patternType="solid">
        <fgColor rgb="FFFBE5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0" fontId="10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11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9EAD3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78787"/>
      <rgbColor rgb="FF9999FF"/>
      <rgbColor rgb="FF7030A0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BE5D6"/>
      <rgbColor rgb="FF99CCFF"/>
      <rgbColor rgb="FFFF99CC"/>
      <rgbColor rgb="FFCC99FF"/>
      <rgbColor rgb="FFF4CCCC"/>
      <rgbColor rgb="FF2E75B6"/>
      <rgbColor rgb="FF33CCCC"/>
      <rgbColor rgb="FF99CC00"/>
      <rgbColor rgb="FFFFCC00"/>
      <rgbColor rgb="FFBF8F00"/>
      <rgbColor rgb="FFC55A11"/>
      <rgbColor rgb="FF595959"/>
      <rgbColor rgb="FF969696"/>
      <rgbColor rgb="FF1F3864"/>
      <rgbColor rgb="FF4F81BD"/>
      <rgbColor rgb="FF003300"/>
      <rgbColor rgb="FF333300"/>
      <rgbColor rgb="FF993300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Oportunidades y amenazas por dimensión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S2_PESTEL!C22</c:f>
              <c:strCache>
                <c:ptCount val="1"/>
                <c:pt idx="0">
                  <c:v>Puntaje oportunidades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S2_PESTEL!$A$23:$A$28</c:f>
              <c:strCache>
                <c:ptCount val="6"/>
                <c:pt idx="0">
                  <c:v>Político-fiscal</c:v>
                </c:pt>
                <c:pt idx="1">
                  <c:v>Económico</c:v>
                </c:pt>
                <c:pt idx="2">
                  <c:v>Social</c:v>
                </c:pt>
                <c:pt idx="3">
                  <c:v>Tecnológico</c:v>
                </c:pt>
                <c:pt idx="4">
                  <c:v>Ecológico</c:v>
                </c:pt>
                <c:pt idx="5">
                  <c:v>Legal</c:v>
                </c:pt>
              </c:strCache>
            </c:strRef>
          </c:cat>
          <c:val>
            <c:numRef>
              <c:f>S2_PESTEL!$C$23:$C$28</c:f>
              <c:numCache>
                <c:formatCode>0</c:formatCode>
                <c:ptCount val="6"/>
                <c:pt idx="0">
                  <c:v>28</c:v>
                </c:pt>
                <c:pt idx="1">
                  <c:v>9</c:v>
                </c:pt>
                <c:pt idx="2">
                  <c:v>16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</c:numCache>
            </c:numRef>
          </c:val>
        </c:ser>
        <c:ser>
          <c:idx val="1"/>
          <c:order val="1"/>
          <c:tx>
            <c:strRef>
              <c:f>S2_PESTEL!D22</c:f>
              <c:strCache>
                <c:ptCount val="1"/>
                <c:pt idx="0">
                  <c:v>Puntaje amenazas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S2_PESTEL!$A$23:$A$28</c:f>
              <c:strCache>
                <c:ptCount val="6"/>
                <c:pt idx="0">
                  <c:v>Político-fiscal</c:v>
                </c:pt>
                <c:pt idx="1">
                  <c:v>Económico</c:v>
                </c:pt>
                <c:pt idx="2">
                  <c:v>Social</c:v>
                </c:pt>
                <c:pt idx="3">
                  <c:v>Tecnológico</c:v>
                </c:pt>
                <c:pt idx="4">
                  <c:v>Ecológico</c:v>
                </c:pt>
                <c:pt idx="5">
                  <c:v>Legal</c:v>
                </c:pt>
              </c:strCache>
            </c:strRef>
          </c:cat>
          <c:val>
            <c:numRef>
              <c:f>S2_PESTEL!$D$23:$D$28</c:f>
              <c:numCache>
                <c:formatCode>0</c:formatCode>
                <c:ptCount val="6"/>
                <c:pt idx="0">
                  <c:v>50</c:v>
                </c:pt>
                <c:pt idx="1">
                  <c:v>12</c:v>
                </c:pt>
                <c:pt idx="2">
                  <c:v>0</c:v>
                </c:pt>
                <c:pt idx="3">
                  <c:v>15</c:v>
                </c:pt>
                <c:pt idx="4">
                  <c:v>8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97643155"/>
        <c:axId val="64761648"/>
      </c:barChart>
      <c:catAx>
        <c:axId val="976431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761648"/>
        <c:crosses val="autoZero"/>
        <c:auto val="1"/>
        <c:lblAlgn val="ctr"/>
        <c:lblOffset val="100"/>
        <c:noMultiLvlLbl val="0"/>
      </c:catAx>
      <c:valAx>
        <c:axId val="647616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64315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Carga asumida por impuesto (millones 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S3_Carga!$A$9:$A$15</c:f>
              <c:strCache>
                <c:ptCount val="7"/>
                <c:pt idx="0">
                  <c:v>Impuesto de renta (35 %)</c:v>
                </c:pt>
                <c:pt idx="1">
                  <c:v>ICA</c:v>
                </c:pt>
                <c:pt idx="2">
                  <c:v>Aportes parafiscales (SENA, ICBF, cajas)</c:v>
                </c:pt>
                <c:pt idx="3">
                  <c:v>Gravamen a los movimientos financieros</c:v>
                </c:pt>
                <c:pt idx="4">
                  <c:v>Predial</c:v>
                </c:pt>
                <c:pt idx="5">
                  <c:v>IVA no descontable</c:v>
                </c:pt>
                <c:pt idx="6">
                  <c:v>Impuesto a plásticos de un solo uso</c:v>
                </c:pt>
              </c:strCache>
            </c:strRef>
          </c:cat>
          <c:val>
            <c:numRef>
              <c:f>S3_Carga!$B$9:$B$15</c:f>
              <c:numCache>
                <c:formatCode>#,##0;[RED]\-#,##0;\-</c:formatCode>
                <c:ptCount val="7"/>
                <c:pt idx="0">
                  <c:v>5180</c:v>
                </c:pt>
                <c:pt idx="1">
                  <c:v>1110</c:v>
                </c:pt>
                <c:pt idx="2">
                  <c:v>1450</c:v>
                </c:pt>
                <c:pt idx="3">
                  <c:v>520</c:v>
                </c:pt>
                <c:pt idx="4">
                  <c:v>380</c:v>
                </c:pt>
                <c:pt idx="5">
                  <c:v>300</c:v>
                </c:pt>
                <c:pt idx="6">
                  <c:v>90</c:v>
                </c:pt>
              </c:numCache>
            </c:numRef>
          </c:val>
        </c:ser>
        <c:gapWidth val="150"/>
        <c:overlap val="0"/>
        <c:axId val="39498726"/>
        <c:axId val="55492023"/>
      </c:barChart>
      <c:catAx>
        <c:axId val="394987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492023"/>
        <c:crosses val="autoZero"/>
        <c:auto val="1"/>
        <c:lblAlgn val="ctr"/>
        <c:lblOffset val="100"/>
        <c:noMultiLvlLbl val="0"/>
      </c:catAx>
      <c:valAx>
        <c:axId val="554920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[RED]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49872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VP del flujo después de impuestos (millones 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S6_Localizacion!$A$44:$A$47</c:f>
              <c:strCache>
                <c:ptCount val="4"/>
                <c:pt idx="0">
                  <c:v>A. Ampliar planta en Mosquera (ordinario)</c:v>
                </c:pt>
                <c:pt idx="1">
                  <c:v>B. Usuario industrial de zona franca (con PIAV)</c:v>
                </c:pt>
                <c:pt idx="2">
                  <c:v>C. Nueva sociedad en municipio ZOMAC (gran empresa)</c:v>
                </c:pt>
                <c:pt idx="3">
                  <c:v>B2. Zona franca si incumple el PIAV</c:v>
                </c:pt>
              </c:strCache>
            </c:strRef>
          </c:cat>
          <c:val>
            <c:numRef>
              <c:f>S6_Localizacion!$D$44:$D$47</c:f>
              <c:numCache>
                <c:formatCode>#,##0;[RED]\-#,##0;\-</c:formatCode>
                <c:ptCount val="4"/>
                <c:pt idx="0">
                  <c:v>18725.2102062324</c:v>
                </c:pt>
                <c:pt idx="1">
                  <c:v>20613.7961083662</c:v>
                </c:pt>
                <c:pt idx="2">
                  <c:v>16469.6016806362</c:v>
                </c:pt>
                <c:pt idx="3">
                  <c:v>17925.0400942315</c:v>
                </c:pt>
              </c:numCache>
            </c:numRef>
          </c:val>
        </c:ser>
        <c:gapWidth val="150"/>
        <c:overlap val="0"/>
        <c:axId val="58396381"/>
        <c:axId val="53663237"/>
      </c:barChart>
      <c:catAx>
        <c:axId val="5839638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663237"/>
        <c:crosses val="autoZero"/>
        <c:auto val="1"/>
        <c:lblAlgn val="ctr"/>
        <c:lblOffset val="100"/>
        <c:noMultiLvlLbl val="0"/>
      </c:catAx>
      <c:valAx>
        <c:axId val="536632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[RED]\-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39638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160920</xdr:rowOff>
    </xdr:from>
    <xdr:to>
      <xdr:col>2</xdr:col>
      <xdr:colOff>183600</xdr:colOff>
      <xdr:row>45</xdr:row>
      <xdr:rowOff>13320</xdr:rowOff>
    </xdr:to>
    <xdr:graphicFrame>
      <xdr:nvGraphicFramePr>
        <xdr:cNvPr id="0" name="Chart 1"/>
        <xdr:cNvGraphicFramePr/>
      </xdr:nvGraphicFramePr>
      <xdr:xfrm>
        <a:off x="0" y="647712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</xdr:row>
      <xdr:rowOff>160920</xdr:rowOff>
    </xdr:from>
    <xdr:to>
      <xdr:col>13</xdr:col>
      <xdr:colOff>507600</xdr:colOff>
      <xdr:row>15</xdr:row>
      <xdr:rowOff>13320</xdr:rowOff>
    </xdr:to>
    <xdr:graphicFrame>
      <xdr:nvGraphicFramePr>
        <xdr:cNvPr id="1" name="Chart 1"/>
        <xdr:cNvGraphicFramePr/>
      </xdr:nvGraphicFramePr>
      <xdr:xfrm>
        <a:off x="7378200" y="57168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</xdr:row>
      <xdr:rowOff>160920</xdr:rowOff>
    </xdr:from>
    <xdr:to>
      <xdr:col>13</xdr:col>
      <xdr:colOff>227520</xdr:colOff>
      <xdr:row>15</xdr:row>
      <xdr:rowOff>13320</xdr:rowOff>
    </xdr:to>
    <xdr:graphicFrame>
      <xdr:nvGraphicFramePr>
        <xdr:cNvPr id="2" name="Chart 1"/>
        <xdr:cNvGraphicFramePr/>
      </xdr:nvGraphicFramePr>
      <xdr:xfrm>
        <a:off x="7964640" y="57168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3</v>
      </c>
      <c r="B6" s="5" t="s">
        <v>5</v>
      </c>
    </row>
    <row r="7" customFormat="false" ht="15" hidden="false" customHeight="false" outlineLevel="0" collapsed="false">
      <c r="A7" s="4" t="s">
        <v>3</v>
      </c>
      <c r="B7" s="5" t="s">
        <v>6</v>
      </c>
    </row>
    <row r="8" customFormat="false" ht="15" hidden="false" customHeight="false" outlineLevel="0" collapsed="false">
      <c r="A8" s="4" t="s">
        <v>3</v>
      </c>
      <c r="B8" s="5" t="s">
        <v>7</v>
      </c>
    </row>
    <row r="10" customFormat="false" ht="15" hidden="false" customHeight="false" outlineLevel="0" collapsed="false">
      <c r="A10" s="3" t="s">
        <v>8</v>
      </c>
    </row>
    <row r="11" customFormat="false" ht="30" hidden="false" customHeight="true" outlineLevel="0" collapsed="false">
      <c r="A11" s="6" t="s">
        <v>9</v>
      </c>
      <c r="B11" s="6" t="s">
        <v>10</v>
      </c>
    </row>
    <row r="12" customFormat="false" ht="15" hidden="false" customHeight="false" outlineLevel="0" collapsed="false">
      <c r="A12" s="7" t="s">
        <v>11</v>
      </c>
      <c r="B12" s="8" t="s">
        <v>12</v>
      </c>
    </row>
    <row r="13" customFormat="false" ht="15" hidden="false" customHeight="false" outlineLevel="0" collapsed="false">
      <c r="A13" s="7" t="s">
        <v>13</v>
      </c>
      <c r="B13" s="8" t="s">
        <v>14</v>
      </c>
    </row>
    <row r="14" customFormat="false" ht="15" hidden="false" customHeight="false" outlineLevel="0" collapsed="false">
      <c r="A14" s="7" t="s">
        <v>15</v>
      </c>
      <c r="B14" s="8" t="s">
        <v>16</v>
      </c>
    </row>
    <row r="15" customFormat="false" ht="15" hidden="false" customHeight="false" outlineLevel="0" collapsed="false">
      <c r="A15" s="7" t="s">
        <v>17</v>
      </c>
      <c r="B15" s="8" t="s">
        <v>18</v>
      </c>
    </row>
    <row r="16" customFormat="false" ht="15" hidden="false" customHeight="false" outlineLevel="0" collapsed="false">
      <c r="A16" s="7" t="s">
        <v>19</v>
      </c>
      <c r="B16" s="8" t="s">
        <v>20</v>
      </c>
    </row>
    <row r="17" customFormat="false" ht="15" hidden="false" customHeight="false" outlineLevel="0" collapsed="false">
      <c r="A17" s="7" t="s">
        <v>21</v>
      </c>
      <c r="B17" s="8" t="s">
        <v>22</v>
      </c>
    </row>
    <row r="18" customFormat="false" ht="15" hidden="false" customHeight="false" outlineLevel="0" collapsed="false">
      <c r="A18" s="7" t="s">
        <v>23</v>
      </c>
      <c r="B18" s="8" t="s">
        <v>24</v>
      </c>
    </row>
    <row r="19" customFormat="false" ht="15" hidden="false" customHeight="false" outlineLevel="0" collapsed="false">
      <c r="A19" s="7" t="s">
        <v>25</v>
      </c>
      <c r="B19" s="8" t="s">
        <v>26</v>
      </c>
    </row>
    <row r="20" customFormat="false" ht="15" hidden="false" customHeight="false" outlineLevel="0" collapsed="false">
      <c r="A20" s="7" t="s">
        <v>27</v>
      </c>
      <c r="B20" s="8" t="s">
        <v>28</v>
      </c>
    </row>
    <row r="21" customFormat="false" ht="15" hidden="false" customHeight="false" outlineLevel="0" collapsed="false">
      <c r="A21" s="7" t="s">
        <v>29</v>
      </c>
      <c r="B21" s="8" t="s">
        <v>30</v>
      </c>
    </row>
    <row r="23" customFormat="false" ht="15" hidden="false" customHeight="false" outlineLevel="0" collapsed="false">
      <c r="A23" s="3" t="s">
        <v>31</v>
      </c>
    </row>
    <row r="24" customFormat="false" ht="15" hidden="false" customHeight="false" outlineLevel="0" collapsed="false">
      <c r="A24" s="9" t="s">
        <v>32</v>
      </c>
    </row>
    <row r="25" customFormat="false" ht="15" hidden="false" customHeight="false" outlineLevel="0" collapsed="false">
      <c r="A25" s="10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30" hidden="false" customHeight="true" outlineLevel="0" collapsed="false">
      <c r="A4" s="6" t="s">
        <v>36</v>
      </c>
      <c r="B4" s="6" t="s">
        <v>37</v>
      </c>
      <c r="C4" s="6" t="s">
        <v>38</v>
      </c>
    </row>
    <row r="5" customFormat="false" ht="15" hidden="false" customHeight="false" outlineLevel="0" collapsed="false">
      <c r="A5" s="11" t="s">
        <v>39</v>
      </c>
      <c r="B5" s="12" t="n">
        <v>0.35</v>
      </c>
      <c r="C5" s="11" t="s">
        <v>40</v>
      </c>
    </row>
    <row r="6" customFormat="false" ht="15" hidden="false" customHeight="false" outlineLevel="0" collapsed="false">
      <c r="A6" s="11" t="s">
        <v>41</v>
      </c>
      <c r="B6" s="12" t="n">
        <v>0.2</v>
      </c>
      <c r="C6" s="11" t="s">
        <v>42</v>
      </c>
    </row>
    <row r="7" customFormat="false" ht="15" hidden="false" customHeight="false" outlineLevel="0" collapsed="false">
      <c r="A7" s="11" t="s">
        <v>43</v>
      </c>
      <c r="B7" s="12" t="n">
        <v>0.75</v>
      </c>
      <c r="C7" s="11" t="s">
        <v>44</v>
      </c>
    </row>
    <row r="8" customFormat="false" ht="15" hidden="false" customHeight="false" outlineLevel="0" collapsed="false">
      <c r="A8" s="11" t="s">
        <v>45</v>
      </c>
      <c r="B8" s="12" t="n">
        <v>0.5</v>
      </c>
      <c r="C8" s="11" t="s">
        <v>44</v>
      </c>
    </row>
    <row r="9" customFormat="false" ht="15" hidden="false" customHeight="false" outlineLevel="0" collapsed="false">
      <c r="A9" s="11" t="s">
        <v>46</v>
      </c>
      <c r="B9" s="13" t="n">
        <v>2027</v>
      </c>
      <c r="C9" s="11" t="s">
        <v>47</v>
      </c>
    </row>
    <row r="10" customFormat="false" ht="15" hidden="false" customHeight="false" outlineLevel="0" collapsed="false">
      <c r="A10" s="11" t="s">
        <v>48</v>
      </c>
      <c r="B10" s="12" t="n">
        <v>0.15</v>
      </c>
      <c r="C10" s="11" t="s">
        <v>49</v>
      </c>
    </row>
    <row r="11" customFormat="false" ht="15" hidden="false" customHeight="false" outlineLevel="0" collapsed="false">
      <c r="A11" s="11" t="s">
        <v>50</v>
      </c>
      <c r="B11" s="12" t="n">
        <v>0.15</v>
      </c>
      <c r="C11" s="11" t="s">
        <v>51</v>
      </c>
    </row>
    <row r="12" customFormat="false" ht="15" hidden="false" customHeight="false" outlineLevel="0" collapsed="false">
      <c r="A12" s="11" t="s">
        <v>52</v>
      </c>
      <c r="B12" s="14" t="n">
        <v>52374</v>
      </c>
      <c r="C12" s="11" t="s">
        <v>53</v>
      </c>
    </row>
    <row r="13" customFormat="false" ht="15" hidden="false" customHeight="false" outlineLevel="0" collapsed="false">
      <c r="A13" s="11" t="s">
        <v>54</v>
      </c>
      <c r="B13" s="14" t="n">
        <v>100000</v>
      </c>
      <c r="C13" s="11" t="s">
        <v>55</v>
      </c>
    </row>
    <row r="14" customFormat="false" ht="15" hidden="false" customHeight="false" outlineLevel="0" collapsed="false">
      <c r="A14" s="11" t="s">
        <v>56</v>
      </c>
      <c r="B14" s="12" t="n">
        <v>0.2</v>
      </c>
      <c r="C14" s="11" t="s">
        <v>57</v>
      </c>
    </row>
    <row r="15" customFormat="false" ht="15" hidden="false" customHeight="false" outlineLevel="0" collapsed="false">
      <c r="A15" s="7" t="s">
        <v>58</v>
      </c>
      <c r="B15" s="15" t="n">
        <f aca="false">Normas!$B$12*Normas!$B$13</f>
        <v>5237400000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4" customFormat="false" ht="30" hidden="false" customHeight="true" outlineLevel="0" collapsed="false">
      <c r="A4" s="6" t="s">
        <v>61</v>
      </c>
      <c r="B4" s="6" t="s">
        <v>62</v>
      </c>
      <c r="C4" s="6" t="s">
        <v>63</v>
      </c>
      <c r="D4" s="6" t="s">
        <v>64</v>
      </c>
      <c r="E4" s="6" t="s">
        <v>65</v>
      </c>
      <c r="F4" s="6" t="s">
        <v>66</v>
      </c>
      <c r="G4" s="6" t="s">
        <v>67</v>
      </c>
    </row>
    <row r="5" customFormat="false" ht="15" hidden="false" customHeight="false" outlineLevel="0" collapsed="false">
      <c r="A5" s="16" t="s">
        <v>68</v>
      </c>
      <c r="B5" s="9" t="s">
        <v>69</v>
      </c>
      <c r="C5" s="17" t="s">
        <v>70</v>
      </c>
      <c r="D5" s="18" t="n">
        <v>5</v>
      </c>
      <c r="E5" s="18" t="n">
        <v>5</v>
      </c>
      <c r="F5" s="19" t="n">
        <f aca="false">IF(AND(D5&lt;&gt;"",E5&lt;&gt;""),D5*E5,"")</f>
        <v>25</v>
      </c>
      <c r="G5" s="20" t="str">
        <f aca="false">IF(F5="","",IF(F5&gt;=16,"Crítico",IF(F5&gt;=10,"Alto",IF(F5&gt;=5,"Medio","Bajo"))))</f>
        <v>Crítico</v>
      </c>
    </row>
    <row r="6" customFormat="false" ht="15" hidden="false" customHeight="false" outlineLevel="0" collapsed="false">
      <c r="A6" s="16" t="s">
        <v>71</v>
      </c>
      <c r="B6" s="9" t="s">
        <v>69</v>
      </c>
      <c r="C6" s="17" t="s">
        <v>72</v>
      </c>
      <c r="D6" s="18" t="n">
        <v>4</v>
      </c>
      <c r="E6" s="18" t="n">
        <v>3</v>
      </c>
      <c r="F6" s="19" t="n">
        <f aca="false">IF(AND(D6&lt;&gt;"",E6&lt;&gt;""),D6*E6,"")</f>
        <v>12</v>
      </c>
      <c r="G6" s="20" t="str">
        <f aca="false">IF(F6="","",IF(F6&gt;=16,"Crítico",IF(F6&gt;=10,"Alto",IF(F6&gt;=5,"Medio","Bajo"))))</f>
        <v>Alto</v>
      </c>
    </row>
    <row r="7" customFormat="false" ht="15" hidden="false" customHeight="false" outlineLevel="0" collapsed="false">
      <c r="A7" s="16" t="s">
        <v>73</v>
      </c>
      <c r="B7" s="9" t="s">
        <v>69</v>
      </c>
      <c r="C7" s="17" t="s">
        <v>70</v>
      </c>
      <c r="D7" s="18" t="n">
        <v>5</v>
      </c>
      <c r="E7" s="18" t="n">
        <v>5</v>
      </c>
      <c r="F7" s="19" t="n">
        <f aca="false">IF(AND(D7&lt;&gt;"",E7&lt;&gt;""),D7*E7,"")</f>
        <v>25</v>
      </c>
      <c r="G7" s="20" t="str">
        <f aca="false">IF(F7="","",IF(F7&gt;=16,"Crítico",IF(F7&gt;=10,"Alto",IF(F7&gt;=5,"Medio","Bajo"))))</f>
        <v>Crítico</v>
      </c>
    </row>
    <row r="8" customFormat="false" ht="15" hidden="false" customHeight="false" outlineLevel="0" collapsed="false">
      <c r="A8" s="16" t="s">
        <v>74</v>
      </c>
      <c r="B8" s="9" t="s">
        <v>69</v>
      </c>
      <c r="C8" s="17" t="s">
        <v>72</v>
      </c>
      <c r="D8" s="18" t="n">
        <v>4</v>
      </c>
      <c r="E8" s="18" t="n">
        <v>4</v>
      </c>
      <c r="F8" s="19" t="n">
        <f aca="false">IF(AND(D8&lt;&gt;"",E8&lt;&gt;""),D8*E8,"")</f>
        <v>16</v>
      </c>
      <c r="G8" s="20" t="str">
        <f aca="false">IF(F8="","",IF(F8&gt;=16,"Crítico",IF(F8&gt;=10,"Alto",IF(F8&gt;=5,"Medio","Bajo"))))</f>
        <v>Crítico</v>
      </c>
    </row>
    <row r="9" customFormat="false" ht="15" hidden="false" customHeight="false" outlineLevel="0" collapsed="false">
      <c r="A9" s="16" t="s">
        <v>75</v>
      </c>
      <c r="B9" s="9" t="s">
        <v>76</v>
      </c>
      <c r="C9" s="17" t="s">
        <v>70</v>
      </c>
      <c r="D9" s="18" t="n">
        <v>3</v>
      </c>
      <c r="E9" s="18" t="n">
        <v>5</v>
      </c>
      <c r="F9" s="19" t="n">
        <f aca="false">IF(AND(D9&lt;&gt;"",E9&lt;&gt;""),D9*E9,"")</f>
        <v>15</v>
      </c>
      <c r="G9" s="20" t="str">
        <f aca="false">IF(F9="","",IF(F9&gt;=16,"Crítico",IF(F9&gt;=10,"Alto",IF(F9&gt;=5,"Medio","Bajo"))))</f>
        <v>Alto</v>
      </c>
    </row>
    <row r="10" customFormat="false" ht="15" hidden="false" customHeight="false" outlineLevel="0" collapsed="false">
      <c r="A10" s="16" t="s">
        <v>77</v>
      </c>
      <c r="B10" s="9" t="s">
        <v>78</v>
      </c>
      <c r="C10" s="17" t="s">
        <v>72</v>
      </c>
      <c r="D10" s="18" t="n">
        <v>4</v>
      </c>
      <c r="E10" s="18" t="n">
        <v>4</v>
      </c>
      <c r="F10" s="19" t="n">
        <f aca="false">IF(AND(D10&lt;&gt;"",E10&lt;&gt;""),D10*E10,"")</f>
        <v>16</v>
      </c>
      <c r="G10" s="20" t="str">
        <f aca="false">IF(F10="","",IF(F10&gt;=16,"Crítico",IF(F10&gt;=10,"Alto",IF(F10&gt;=5,"Medio","Bajo"))))</f>
        <v>Crítico</v>
      </c>
    </row>
    <row r="11" customFormat="false" ht="15" hidden="false" customHeight="false" outlineLevel="0" collapsed="false">
      <c r="A11" s="16" t="s">
        <v>79</v>
      </c>
      <c r="B11" s="9" t="s">
        <v>80</v>
      </c>
      <c r="C11" s="17" t="s">
        <v>72</v>
      </c>
      <c r="D11" s="18" t="n">
        <v>3</v>
      </c>
      <c r="E11" s="18" t="n">
        <v>3</v>
      </c>
      <c r="F11" s="19" t="n">
        <f aca="false">IF(AND(D11&lt;&gt;"",E11&lt;&gt;""),D11*E11,"")</f>
        <v>9</v>
      </c>
      <c r="G11" s="20" t="str">
        <f aca="false">IF(F11="","",IF(F11&gt;=16,"Crítico",IF(F11&gt;=10,"Alto",IF(F11&gt;=5,"Medio","Bajo"))))</f>
        <v>Medio</v>
      </c>
    </row>
    <row r="12" customFormat="false" ht="15" hidden="false" customHeight="false" outlineLevel="0" collapsed="false">
      <c r="A12" s="16" t="s">
        <v>81</v>
      </c>
      <c r="B12" s="9" t="s">
        <v>80</v>
      </c>
      <c r="C12" s="17" t="s">
        <v>70</v>
      </c>
      <c r="D12" s="18" t="n">
        <v>3</v>
      </c>
      <c r="E12" s="18" t="n">
        <v>4</v>
      </c>
      <c r="F12" s="19" t="n">
        <f aca="false">IF(AND(D12&lt;&gt;"",E12&lt;&gt;""),D12*E12,"")</f>
        <v>12</v>
      </c>
      <c r="G12" s="20" t="str">
        <f aca="false">IF(F12="","",IF(F12&gt;=16,"Crítico",IF(F12&gt;=10,"Alto",IF(F12&gt;=5,"Medio","Bajo"))))</f>
        <v>Alto</v>
      </c>
    </row>
    <row r="13" customFormat="false" ht="15" hidden="false" customHeight="false" outlineLevel="0" collapsed="false">
      <c r="A13" s="16" t="s">
        <v>82</v>
      </c>
      <c r="B13" s="9" t="s">
        <v>83</v>
      </c>
      <c r="C13" s="17" t="s">
        <v>70</v>
      </c>
      <c r="D13" s="18" t="n">
        <v>2</v>
      </c>
      <c r="E13" s="18" t="n">
        <v>4</v>
      </c>
      <c r="F13" s="19" t="n">
        <f aca="false">IF(AND(D13&lt;&gt;"",E13&lt;&gt;""),D13*E13,"")</f>
        <v>8</v>
      </c>
      <c r="G13" s="20" t="str">
        <f aca="false">IF(F13="","",IF(F13&gt;=16,"Crítico",IF(F13&gt;=10,"Alto",IF(F13&gt;=5,"Medio","Bajo"))))</f>
        <v>Medio</v>
      </c>
    </row>
    <row r="14" customFormat="false" ht="15" hidden="false" customHeight="false" outlineLevel="0" collapsed="false">
      <c r="A14" s="16" t="s">
        <v>84</v>
      </c>
      <c r="B14" s="9" t="s">
        <v>85</v>
      </c>
      <c r="C14" s="17" t="s">
        <v>72</v>
      </c>
      <c r="D14" s="18" t="n">
        <v>4</v>
      </c>
      <c r="E14" s="18" t="n">
        <v>3</v>
      </c>
      <c r="F14" s="19" t="n">
        <f aca="false">IF(AND(D14&lt;&gt;"",E14&lt;&gt;""),D14*E14,"")</f>
        <v>12</v>
      </c>
      <c r="G14" s="20" t="str">
        <f aca="false">IF(F14="","",IF(F14&gt;=16,"Crítico",IF(F14&gt;=10,"Alto",IF(F14&gt;=5,"Medio","Bajo"))))</f>
        <v>Alto</v>
      </c>
    </row>
    <row r="15" customFormat="false" ht="15" hidden="false" customHeight="false" outlineLevel="0" collapsed="false">
      <c r="A15" s="9"/>
      <c r="B15" s="9"/>
      <c r="C15" s="9"/>
      <c r="D15" s="9"/>
      <c r="E15" s="9"/>
      <c r="F15" s="19" t="str">
        <f aca="false">IF(AND(D15&lt;&gt;"",E15&lt;&gt;""),D15*E15,"")</f>
        <v/>
      </c>
      <c r="G15" s="20" t="str">
        <f aca="false">IF(F15="","",IF(F15&gt;=16,"Crítico",IF(F15&gt;=10,"Alto",IF(F15&gt;=5,"Medio","Bajo"))))</f>
        <v/>
      </c>
    </row>
    <row r="16" customFormat="false" ht="15" hidden="false" customHeight="false" outlineLevel="0" collapsed="false">
      <c r="A16" s="9"/>
      <c r="B16" s="9"/>
      <c r="C16" s="9"/>
      <c r="D16" s="9"/>
      <c r="E16" s="9"/>
      <c r="F16" s="19" t="str">
        <f aca="false">IF(AND(D16&lt;&gt;"",E16&lt;&gt;""),D16*E16,"")</f>
        <v/>
      </c>
      <c r="G16" s="20" t="str">
        <f aca="false">IF(F16="","",IF(F16&gt;=16,"Crítico",IF(F16&gt;=10,"Alto",IF(F16&gt;=5,"Medio","Bajo"))))</f>
        <v/>
      </c>
    </row>
    <row r="17" customFormat="false" ht="15" hidden="false" customHeight="false" outlineLevel="0" collapsed="false">
      <c r="A17" s="9"/>
      <c r="B17" s="9"/>
      <c r="C17" s="9"/>
      <c r="D17" s="9"/>
      <c r="E17" s="9"/>
      <c r="F17" s="19" t="str">
        <f aca="false">IF(AND(D17&lt;&gt;"",E17&lt;&gt;""),D17*E17,"")</f>
        <v/>
      </c>
      <c r="G17" s="20" t="str">
        <f aca="false">IF(F17="","",IF(F17&gt;=16,"Crítico",IF(F17&gt;=10,"Alto",IF(F17&gt;=5,"Medio","Bajo"))))</f>
        <v/>
      </c>
    </row>
    <row r="18" customFormat="false" ht="15" hidden="false" customHeight="false" outlineLevel="0" collapsed="false">
      <c r="A18" s="9"/>
      <c r="B18" s="9"/>
      <c r="C18" s="9"/>
      <c r="D18" s="9"/>
      <c r="E18" s="9"/>
      <c r="F18" s="19" t="str">
        <f aca="false">IF(AND(D18&lt;&gt;"",E18&lt;&gt;""),D18*E18,"")</f>
        <v/>
      </c>
      <c r="G18" s="20" t="str">
        <f aca="false">IF(F18="","",IF(F18&gt;=16,"Crítico",IF(F18&gt;=10,"Alto",IF(F18&gt;=5,"Medio","Bajo"))))</f>
        <v/>
      </c>
    </row>
    <row r="19" customFormat="false" ht="15" hidden="false" customHeight="false" outlineLevel="0" collapsed="false">
      <c r="A19" s="9"/>
      <c r="B19" s="9"/>
      <c r="C19" s="9"/>
      <c r="D19" s="9"/>
      <c r="E19" s="9"/>
      <c r="F19" s="19" t="str">
        <f aca="false">IF(AND(D19&lt;&gt;"",E19&lt;&gt;""),D19*E19,"")</f>
        <v/>
      </c>
      <c r="G19" s="20" t="str">
        <f aca="false">IF(F19="","",IF(F19&gt;=16,"Crítico",IF(F19&gt;=10,"Alto",IF(F19&gt;=5,"Medio","Bajo"))))</f>
        <v/>
      </c>
    </row>
    <row r="21" customFormat="false" ht="15" hidden="false" customHeight="false" outlineLevel="0" collapsed="false">
      <c r="A21" s="3" t="s">
        <v>86</v>
      </c>
    </row>
    <row r="22" customFormat="false" ht="30" hidden="false" customHeight="true" outlineLevel="0" collapsed="false">
      <c r="A22" s="6" t="s">
        <v>62</v>
      </c>
      <c r="B22" s="6" t="s">
        <v>87</v>
      </c>
      <c r="C22" s="6" t="s">
        <v>88</v>
      </c>
      <c r="D22" s="6" t="s">
        <v>89</v>
      </c>
      <c r="E22" s="6" t="s">
        <v>90</v>
      </c>
    </row>
    <row r="23" customFormat="false" ht="15" hidden="false" customHeight="false" outlineLevel="0" collapsed="false">
      <c r="A23" s="11" t="s">
        <v>69</v>
      </c>
      <c r="B23" s="19" t="n">
        <f aca="false">COUNTIF($B$5:$B$19,A23)</f>
        <v>4</v>
      </c>
      <c r="C23" s="19" t="n">
        <f aca="false">SUMIFS($F$5:$F$19,$B$5:$B$19,A23,$C$5:$C$19,"O")</f>
        <v>28</v>
      </c>
      <c r="D23" s="19" t="n">
        <f aca="false">SUMIFS($F$5:$F$19,$B$5:$B$19,A23,$C$5:$C$19,"A")</f>
        <v>50</v>
      </c>
      <c r="E23" s="21" t="n">
        <f aca="false">C23-D23</f>
        <v>-22</v>
      </c>
    </row>
    <row r="24" customFormat="false" ht="15" hidden="false" customHeight="false" outlineLevel="0" collapsed="false">
      <c r="A24" s="11" t="s">
        <v>80</v>
      </c>
      <c r="B24" s="19" t="n">
        <f aca="false">COUNTIF($B$5:$B$19,A24)</f>
        <v>2</v>
      </c>
      <c r="C24" s="19" t="n">
        <f aca="false">SUMIFS($F$5:$F$19,$B$5:$B$19,A24,$C$5:$C$19,"O")</f>
        <v>9</v>
      </c>
      <c r="D24" s="19" t="n">
        <f aca="false">SUMIFS($F$5:$F$19,$B$5:$B$19,A24,$C$5:$C$19,"A")</f>
        <v>12</v>
      </c>
      <c r="E24" s="21" t="n">
        <f aca="false">C24-D24</f>
        <v>-3</v>
      </c>
    </row>
    <row r="25" customFormat="false" ht="15" hidden="false" customHeight="false" outlineLevel="0" collapsed="false">
      <c r="A25" s="11" t="s">
        <v>78</v>
      </c>
      <c r="B25" s="19" t="n">
        <f aca="false">COUNTIF($B$5:$B$19,A25)</f>
        <v>1</v>
      </c>
      <c r="C25" s="19" t="n">
        <f aca="false">SUMIFS($F$5:$F$19,$B$5:$B$19,A25,$C$5:$C$19,"O")</f>
        <v>16</v>
      </c>
      <c r="D25" s="19" t="n">
        <f aca="false">SUMIFS($F$5:$F$19,$B$5:$B$19,A25,$C$5:$C$19,"A")</f>
        <v>0</v>
      </c>
      <c r="E25" s="21" t="n">
        <f aca="false">C25-D25</f>
        <v>16</v>
      </c>
    </row>
    <row r="26" customFormat="false" ht="15" hidden="false" customHeight="false" outlineLevel="0" collapsed="false">
      <c r="A26" s="11" t="s">
        <v>76</v>
      </c>
      <c r="B26" s="19" t="n">
        <f aca="false">COUNTIF($B$5:$B$19,A26)</f>
        <v>1</v>
      </c>
      <c r="C26" s="19" t="n">
        <f aca="false">SUMIFS($F$5:$F$19,$B$5:$B$19,A26,$C$5:$C$19,"O")</f>
        <v>0</v>
      </c>
      <c r="D26" s="19" t="n">
        <f aca="false">SUMIFS($F$5:$F$19,$B$5:$B$19,A26,$C$5:$C$19,"A")</f>
        <v>15</v>
      </c>
      <c r="E26" s="21" t="n">
        <f aca="false">C26-D26</f>
        <v>-15</v>
      </c>
    </row>
    <row r="27" customFormat="false" ht="15" hidden="false" customHeight="false" outlineLevel="0" collapsed="false">
      <c r="A27" s="11" t="s">
        <v>83</v>
      </c>
      <c r="B27" s="19" t="n">
        <f aca="false">COUNTIF($B$5:$B$19,A27)</f>
        <v>1</v>
      </c>
      <c r="C27" s="19" t="n">
        <f aca="false">SUMIFS($F$5:$F$19,$B$5:$B$19,A27,$C$5:$C$19,"O")</f>
        <v>0</v>
      </c>
      <c r="D27" s="19" t="n">
        <f aca="false">SUMIFS($F$5:$F$19,$B$5:$B$19,A27,$C$5:$C$19,"A")</f>
        <v>8</v>
      </c>
      <c r="E27" s="21" t="n">
        <f aca="false">C27-D27</f>
        <v>-8</v>
      </c>
    </row>
    <row r="28" customFormat="false" ht="15" hidden="false" customHeight="false" outlineLevel="0" collapsed="false">
      <c r="A28" s="11" t="s">
        <v>85</v>
      </c>
      <c r="B28" s="19" t="n">
        <f aca="false">COUNTIF($B$5:$B$19,A28)</f>
        <v>1</v>
      </c>
      <c r="C28" s="19" t="n">
        <f aca="false">SUMIFS($F$5:$F$19,$B$5:$B$19,A28,$C$5:$C$19,"O")</f>
        <v>12</v>
      </c>
      <c r="D28" s="19" t="n">
        <f aca="false">SUMIFS($F$5:$F$19,$B$5:$B$19,A28,$C$5:$C$19,"A")</f>
        <v>0</v>
      </c>
      <c r="E28" s="21" t="n">
        <f aca="false">C28-D28</f>
        <v>12</v>
      </c>
    </row>
    <row r="29" customFormat="false" ht="15" hidden="false" customHeight="false" outlineLevel="0" collapsed="false">
      <c r="A29" s="7" t="s">
        <v>91</v>
      </c>
      <c r="B29" s="22" t="n">
        <f aca="false">SUM(B23:B28)</f>
        <v>10</v>
      </c>
      <c r="C29" s="22" t="n">
        <f aca="false">SUM(C23:C28)</f>
        <v>65</v>
      </c>
      <c r="D29" s="22" t="n">
        <f aca="false">SUM(D23:D28)</f>
        <v>85</v>
      </c>
      <c r="E29" s="22" t="n">
        <f aca="false">SUM(E23:E28)</f>
        <v>-20</v>
      </c>
    </row>
    <row r="31" customFormat="false" ht="15" hidden="false" customHeight="false" outlineLevel="0" collapsed="false">
      <c r="A31" s="2" t="s">
        <v>92</v>
      </c>
    </row>
  </sheetData>
  <conditionalFormatting sqref="F5:F19">
    <cfRule type="colorScale" priority="2">
      <colorScale>
        <cfvo type="num" val="1"/>
        <cfvo type="num" val="12"/>
        <cfvo type="num" val="25"/>
        <color rgb="FFD9EAD3"/>
        <color rgb="FFFFF2CC"/>
        <color rgb="FFF4CCCC"/>
      </colorScale>
    </cfRule>
  </conditionalFormatting>
  <dataValidations count="3">
    <dataValidation allowBlank="true" errorStyle="stop" operator="between" showDropDown="false" showErrorMessage="false" showInputMessage="false" sqref="B5:B19" type="list">
      <formula1>"Político-fiscal,Económico,Social,Tecnológico,Ecológico,Legal"</formula1>
      <formula2>0</formula2>
    </dataValidation>
    <dataValidation allowBlank="true" errorStyle="stop" operator="between" showDropDown="false" showErrorMessage="false" showInputMessage="false" sqref="C5:C19" type="list">
      <formula1>"O,A"</formula1>
      <formula2>0</formula2>
    </dataValidation>
    <dataValidation allowBlank="true" errorStyle="stop" operator="between" showDropDown="false" showErrorMessage="false" showInputMessage="false" sqref="D5:E19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4" min="3" style="0" width="14"/>
  </cols>
  <sheetData>
    <row r="1" customFormat="false" ht="17.35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4" customFormat="false" ht="15" hidden="false" customHeight="false" outlineLevel="0" collapsed="false">
      <c r="A4" s="11" t="s">
        <v>95</v>
      </c>
      <c r="B4" s="23" t="n">
        <v>185000</v>
      </c>
    </row>
    <row r="5" customFormat="false" ht="15" hidden="false" customHeight="false" outlineLevel="0" collapsed="false">
      <c r="A5" s="11" t="s">
        <v>96</v>
      </c>
      <c r="B5" s="23" t="n">
        <v>14800</v>
      </c>
    </row>
    <row r="7" customFormat="false" ht="15" hidden="false" customHeight="false" outlineLevel="0" collapsed="false">
      <c r="A7" s="3" t="s">
        <v>97</v>
      </c>
    </row>
    <row r="8" customFormat="false" ht="30" hidden="false" customHeight="true" outlineLevel="0" collapsed="false">
      <c r="A8" s="6" t="s">
        <v>98</v>
      </c>
      <c r="B8" s="6" t="s">
        <v>37</v>
      </c>
      <c r="C8" s="6" t="s">
        <v>99</v>
      </c>
      <c r="D8" s="6" t="s">
        <v>100</v>
      </c>
    </row>
    <row r="9" customFormat="false" ht="15" hidden="false" customHeight="false" outlineLevel="0" collapsed="false">
      <c r="A9" s="11" t="s">
        <v>101</v>
      </c>
      <c r="B9" s="24" t="n">
        <f aca="false">B5*Normas!$B$5</f>
        <v>5180</v>
      </c>
      <c r="C9" s="25" t="n">
        <f aca="false">B9/$B$4</f>
        <v>0.028</v>
      </c>
      <c r="D9" s="26" t="n">
        <f aca="false">B9/$B$5</f>
        <v>0.35</v>
      </c>
    </row>
    <row r="10" customFormat="false" ht="15" hidden="false" customHeight="false" outlineLevel="0" collapsed="false">
      <c r="A10" s="11" t="s">
        <v>102</v>
      </c>
      <c r="B10" s="23" t="n">
        <v>1110</v>
      </c>
      <c r="C10" s="25" t="n">
        <f aca="false">B10/$B$4</f>
        <v>0.006</v>
      </c>
      <c r="D10" s="26" t="n">
        <f aca="false">B10/$B$5</f>
        <v>0.075</v>
      </c>
    </row>
    <row r="11" customFormat="false" ht="15" hidden="false" customHeight="false" outlineLevel="0" collapsed="false">
      <c r="A11" s="11" t="s">
        <v>103</v>
      </c>
      <c r="B11" s="23" t="n">
        <v>1450</v>
      </c>
      <c r="C11" s="25" t="n">
        <f aca="false">B11/$B$4</f>
        <v>0.00783783783783784</v>
      </c>
      <c r="D11" s="26" t="n">
        <f aca="false">B11/$B$5</f>
        <v>0.097972972972973</v>
      </c>
    </row>
    <row r="12" customFormat="false" ht="15" hidden="false" customHeight="false" outlineLevel="0" collapsed="false">
      <c r="A12" s="11" t="s">
        <v>104</v>
      </c>
      <c r="B12" s="23" t="n">
        <v>520</v>
      </c>
      <c r="C12" s="25" t="n">
        <f aca="false">B12/$B$4</f>
        <v>0.00281081081081081</v>
      </c>
      <c r="D12" s="26" t="n">
        <f aca="false">B12/$B$5</f>
        <v>0.0351351351351351</v>
      </c>
    </row>
    <row r="13" customFormat="false" ht="15" hidden="false" customHeight="false" outlineLevel="0" collapsed="false">
      <c r="A13" s="11" t="s">
        <v>105</v>
      </c>
      <c r="B13" s="23" t="n">
        <v>380</v>
      </c>
      <c r="C13" s="25" t="n">
        <f aca="false">B13/$B$4</f>
        <v>0.00205405405405405</v>
      </c>
      <c r="D13" s="26" t="n">
        <f aca="false">B13/$B$5</f>
        <v>0.0256756756756757</v>
      </c>
    </row>
    <row r="14" customFormat="false" ht="15" hidden="false" customHeight="false" outlineLevel="0" collapsed="false">
      <c r="A14" s="11" t="s">
        <v>106</v>
      </c>
      <c r="B14" s="23" t="n">
        <v>300</v>
      </c>
      <c r="C14" s="25" t="n">
        <f aca="false">B14/$B$4</f>
        <v>0.00162162162162162</v>
      </c>
      <c r="D14" s="26" t="n">
        <f aca="false">B14/$B$5</f>
        <v>0.0202702702702703</v>
      </c>
    </row>
    <row r="15" customFormat="false" ht="15" hidden="false" customHeight="false" outlineLevel="0" collapsed="false">
      <c r="A15" s="11" t="s">
        <v>107</v>
      </c>
      <c r="B15" s="23" t="n">
        <v>90</v>
      </c>
      <c r="C15" s="25" t="n">
        <f aca="false">B15/$B$4</f>
        <v>0.000486486486486486</v>
      </c>
      <c r="D15" s="26" t="n">
        <f aca="false">B15/$B$5</f>
        <v>0.00608108108108108</v>
      </c>
    </row>
    <row r="16" customFormat="false" ht="15" hidden="false" customHeight="false" outlineLevel="0" collapsed="false">
      <c r="A16" s="7" t="s">
        <v>108</v>
      </c>
      <c r="B16" s="27" t="n">
        <f aca="false">SUM(B9:B15)</f>
        <v>9030</v>
      </c>
      <c r="C16" s="28" t="n">
        <f aca="false">B16/B4</f>
        <v>0.0488108108108108</v>
      </c>
      <c r="D16" s="29" t="n">
        <f aca="false">B16/B5</f>
        <v>0.610135135135135</v>
      </c>
    </row>
    <row r="18" customFormat="false" ht="15" hidden="false" customHeight="false" outlineLevel="0" collapsed="false">
      <c r="A18" s="3" t="s">
        <v>109</v>
      </c>
    </row>
    <row r="19" customFormat="false" ht="30" hidden="false" customHeight="true" outlineLevel="0" collapsed="false">
      <c r="A19" s="6" t="s">
        <v>110</v>
      </c>
      <c r="B19" s="6" t="s">
        <v>37</v>
      </c>
      <c r="C19" s="6" t="s">
        <v>99</v>
      </c>
      <c r="D19" s="6"/>
    </row>
    <row r="20" customFormat="false" ht="15" hidden="false" customHeight="false" outlineLevel="0" collapsed="false">
      <c r="A20" s="11" t="s">
        <v>111</v>
      </c>
      <c r="B20" s="24" t="n">
        <f aca="false">B4*0.55*Normas!$B$14</f>
        <v>20350</v>
      </c>
      <c r="C20" s="25" t="n">
        <f aca="false">B20/B4</f>
        <v>0.11</v>
      </c>
    </row>
    <row r="21" customFormat="false" ht="15" hidden="false" customHeight="false" outlineLevel="0" collapsed="false">
      <c r="A21" s="11" t="s">
        <v>112</v>
      </c>
      <c r="B21" s="23" t="n">
        <v>6400</v>
      </c>
      <c r="C21" s="25" t="n">
        <f aca="false">B21/B4</f>
        <v>0.0345945945945946</v>
      </c>
    </row>
    <row r="22" customFormat="false" ht="15" hidden="false" customHeight="false" outlineLevel="0" collapsed="false">
      <c r="A22" s="11" t="s">
        <v>113</v>
      </c>
      <c r="B22" s="23" t="n">
        <v>3200</v>
      </c>
      <c r="C22" s="25" t="n">
        <f aca="false">B22/B4</f>
        <v>0.0172972972972973</v>
      </c>
    </row>
    <row r="23" customFormat="false" ht="15" hidden="false" customHeight="false" outlineLevel="0" collapsed="false">
      <c r="A23" s="7" t="s">
        <v>114</v>
      </c>
      <c r="B23" s="27" t="n">
        <f aca="false">SUM(B20:B22)</f>
        <v>29950</v>
      </c>
      <c r="C23" s="25" t="n">
        <f aca="false">B23/B4</f>
        <v>0.161891891891892</v>
      </c>
    </row>
    <row r="25" customFormat="false" ht="15" hidden="false" customHeight="false" outlineLevel="0" collapsed="false">
      <c r="A25" s="2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60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1" t="s">
        <v>116</v>
      </c>
    </row>
    <row r="2" customFormat="false" ht="15" hidden="false" customHeight="false" outlineLevel="0" collapsed="false">
      <c r="A2" s="2" t="s">
        <v>117</v>
      </c>
    </row>
    <row r="4" customFormat="false" ht="30" hidden="false" customHeight="true" outlineLevel="0" collapsed="false">
      <c r="A4" s="6" t="s">
        <v>118</v>
      </c>
      <c r="B4" s="6" t="s">
        <v>119</v>
      </c>
      <c r="C4" s="6" t="s">
        <v>120</v>
      </c>
      <c r="D4" s="6" t="s">
        <v>64</v>
      </c>
      <c r="E4" s="6" t="s">
        <v>121</v>
      </c>
      <c r="F4" s="6" t="s">
        <v>67</v>
      </c>
      <c r="G4" s="6" t="s">
        <v>122</v>
      </c>
    </row>
    <row r="5" customFormat="false" ht="30" hidden="false" customHeight="true" outlineLevel="0" collapsed="false">
      <c r="A5" s="7" t="s">
        <v>123</v>
      </c>
      <c r="B5" s="20" t="s">
        <v>124</v>
      </c>
      <c r="C5" s="16" t="s">
        <v>125</v>
      </c>
      <c r="D5" s="18" t="n">
        <v>3</v>
      </c>
      <c r="E5" s="18" t="n">
        <v>3</v>
      </c>
      <c r="F5" s="19" t="n">
        <f aca="false">D5*E5</f>
        <v>9</v>
      </c>
      <c r="G5" s="16" t="s">
        <v>126</v>
      </c>
    </row>
    <row r="6" customFormat="false" ht="30" hidden="false" customHeight="true" outlineLevel="0" collapsed="false">
      <c r="A6" s="7" t="s">
        <v>127</v>
      </c>
      <c r="B6" s="20" t="s">
        <v>124</v>
      </c>
      <c r="C6" s="16" t="s">
        <v>128</v>
      </c>
      <c r="D6" s="18" t="n">
        <v>4</v>
      </c>
      <c r="E6" s="18" t="n">
        <v>4</v>
      </c>
      <c r="F6" s="19" t="n">
        <f aca="false">D6*E6</f>
        <v>16</v>
      </c>
      <c r="G6" s="16" t="s">
        <v>129</v>
      </c>
    </row>
    <row r="7" customFormat="false" ht="30" hidden="false" customHeight="true" outlineLevel="0" collapsed="false">
      <c r="A7" s="7" t="s">
        <v>130</v>
      </c>
      <c r="B7" s="20" t="s">
        <v>124</v>
      </c>
      <c r="C7" s="16" t="s">
        <v>131</v>
      </c>
      <c r="D7" s="18" t="n">
        <v>4</v>
      </c>
      <c r="E7" s="18" t="n">
        <v>5</v>
      </c>
      <c r="F7" s="19" t="n">
        <f aca="false">D7*E7</f>
        <v>20</v>
      </c>
      <c r="G7" s="16" t="s">
        <v>132</v>
      </c>
    </row>
    <row r="8" customFormat="false" ht="30" hidden="false" customHeight="true" outlineLevel="0" collapsed="false">
      <c r="A8" s="7" t="s">
        <v>133</v>
      </c>
      <c r="B8" s="20" t="s">
        <v>124</v>
      </c>
      <c r="C8" s="16" t="s">
        <v>134</v>
      </c>
      <c r="D8" s="18" t="n">
        <v>5</v>
      </c>
      <c r="E8" s="18" t="n">
        <v>4</v>
      </c>
      <c r="F8" s="19" t="n">
        <f aca="false">D8*E8</f>
        <v>20</v>
      </c>
      <c r="G8" s="16" t="s">
        <v>135</v>
      </c>
    </row>
    <row r="9" customFormat="false" ht="30" hidden="false" customHeight="true" outlineLevel="0" collapsed="false">
      <c r="A9" s="7" t="s">
        <v>136</v>
      </c>
      <c r="B9" s="20" t="s">
        <v>124</v>
      </c>
      <c r="C9" s="16" t="s">
        <v>137</v>
      </c>
      <c r="D9" s="18" t="n">
        <v>1</v>
      </c>
      <c r="E9" s="18" t="n">
        <v>4</v>
      </c>
      <c r="F9" s="19" t="n">
        <f aca="false">D9*E9</f>
        <v>4</v>
      </c>
      <c r="G9" s="16"/>
    </row>
    <row r="10" customFormat="false" ht="30" hidden="false" customHeight="true" outlineLevel="0" collapsed="false">
      <c r="A10" s="7" t="s">
        <v>138</v>
      </c>
      <c r="B10" s="20" t="s">
        <v>139</v>
      </c>
      <c r="C10" s="16" t="s">
        <v>140</v>
      </c>
      <c r="D10" s="18" t="n">
        <v>5</v>
      </c>
      <c r="E10" s="18" t="n">
        <v>4</v>
      </c>
      <c r="F10" s="19" t="n">
        <f aca="false">D10*E10</f>
        <v>20</v>
      </c>
      <c r="G10" s="16" t="s">
        <v>141</v>
      </c>
    </row>
    <row r="11" customFormat="false" ht="30" hidden="false" customHeight="true" outlineLevel="0" collapsed="false">
      <c r="A11" s="7" t="s">
        <v>142</v>
      </c>
      <c r="B11" s="20" t="s">
        <v>139</v>
      </c>
      <c r="C11" s="16" t="s">
        <v>143</v>
      </c>
      <c r="D11" s="18" t="n">
        <v>4</v>
      </c>
      <c r="E11" s="18" t="n">
        <v>2</v>
      </c>
      <c r="F11" s="19" t="n">
        <f aca="false">D11*E11</f>
        <v>8</v>
      </c>
      <c r="G11" s="16"/>
    </row>
    <row r="12" customFormat="false" ht="30" hidden="false" customHeight="true" outlineLevel="0" collapsed="false">
      <c r="A12" s="7" t="s">
        <v>144</v>
      </c>
      <c r="B12" s="20" t="s">
        <v>139</v>
      </c>
      <c r="C12" s="16" t="s">
        <v>145</v>
      </c>
      <c r="D12" s="18" t="n">
        <v>3</v>
      </c>
      <c r="E12" s="18" t="n">
        <v>4</v>
      </c>
      <c r="F12" s="19" t="n">
        <f aca="false">D12*E12</f>
        <v>12</v>
      </c>
      <c r="G12" s="16" t="s">
        <v>146</v>
      </c>
    </row>
    <row r="13" customFormat="false" ht="30" hidden="false" customHeight="true" outlineLevel="0" collapsed="false">
      <c r="A13" s="7" t="s">
        <v>147</v>
      </c>
      <c r="B13" s="20" t="s">
        <v>139</v>
      </c>
      <c r="C13" s="16" t="s">
        <v>148</v>
      </c>
      <c r="D13" s="18" t="n">
        <v>3</v>
      </c>
      <c r="E13" s="18" t="n">
        <v>4</v>
      </c>
      <c r="F13" s="19" t="n">
        <f aca="false">D13*E13</f>
        <v>12</v>
      </c>
      <c r="G13" s="16" t="s">
        <v>149</v>
      </c>
    </row>
    <row r="15" customFormat="false" ht="15" hidden="false" customHeight="false" outlineLevel="0" collapsed="false">
      <c r="A15" s="7" t="s">
        <v>150</v>
      </c>
      <c r="C15" s="10" t="str">
        <f aca="false">INDEX(A5:A13,MATCH(MAX(F5:F13),F5:F13,0))</f>
        <v>Logística de salida</v>
      </c>
    </row>
  </sheetData>
  <conditionalFormatting sqref="F5:F13">
    <cfRule type="colorScale" priority="2">
      <colorScale>
        <cfvo type="num" val="1"/>
        <cfvo type="num" val="12"/>
        <cfvo type="num" val="25"/>
        <color rgb="FFD9EAD3"/>
        <color rgb="FFFFF2CC"/>
        <color rgb="FFF4CCCC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false"/>
  </sheetPr>
  <dimension ref="A1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0"/>
    <col collapsed="false" customWidth="true" hidden="false" outlineLevel="0" max="8" min="3" style="0" width="12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151</v>
      </c>
    </row>
    <row r="2" customFormat="false" ht="15" hidden="false" customHeight="false" outlineLevel="0" collapsed="false">
      <c r="A2" s="2" t="s">
        <v>152</v>
      </c>
    </row>
    <row r="4" customFormat="false" ht="15" hidden="false" customHeight="false" outlineLevel="0" collapsed="false">
      <c r="A4" s="3" t="s">
        <v>153</v>
      </c>
    </row>
    <row r="5" customFormat="false" ht="15" hidden="false" customHeight="false" outlineLevel="0" collapsed="false">
      <c r="A5" s="11" t="s">
        <v>154</v>
      </c>
      <c r="B5" s="12" t="n">
        <v>0.3</v>
      </c>
    </row>
    <row r="6" customFormat="false" ht="15" hidden="false" customHeight="false" outlineLevel="0" collapsed="false">
      <c r="A6" s="11" t="s">
        <v>155</v>
      </c>
      <c r="B6" s="12" t="n">
        <v>0.2</v>
      </c>
    </row>
    <row r="7" customFormat="false" ht="15" hidden="false" customHeight="false" outlineLevel="0" collapsed="false">
      <c r="A7" s="11" t="s">
        <v>156</v>
      </c>
      <c r="B7" s="12" t="n">
        <v>0.2</v>
      </c>
    </row>
    <row r="8" customFormat="false" ht="15" hidden="false" customHeight="false" outlineLevel="0" collapsed="false">
      <c r="A8" s="11" t="s">
        <v>157</v>
      </c>
      <c r="B8" s="12" t="n">
        <v>0.2</v>
      </c>
    </row>
    <row r="9" customFormat="false" ht="15" hidden="false" customHeight="false" outlineLevel="0" collapsed="false">
      <c r="A9" s="11" t="s">
        <v>158</v>
      </c>
      <c r="B9" s="12" t="n">
        <v>0.1</v>
      </c>
    </row>
    <row r="10" customFormat="false" ht="15" hidden="false" customHeight="false" outlineLevel="0" collapsed="false">
      <c r="A10" s="7" t="s">
        <v>159</v>
      </c>
      <c r="B10" s="29" t="n">
        <f aca="false">SUM(B5:B9)</f>
        <v>1</v>
      </c>
    </row>
    <row r="12" customFormat="false" ht="30" hidden="false" customHeight="true" outlineLevel="0" collapsed="false">
      <c r="A12" s="6" t="s">
        <v>160</v>
      </c>
      <c r="B12" s="6" t="s">
        <v>119</v>
      </c>
      <c r="C12" s="6" t="s">
        <v>161</v>
      </c>
      <c r="D12" s="6" t="s">
        <v>162</v>
      </c>
      <c r="E12" s="6" t="s">
        <v>163</v>
      </c>
      <c r="F12" s="6" t="s">
        <v>164</v>
      </c>
      <c r="G12" s="6" t="s">
        <v>165</v>
      </c>
      <c r="H12" s="6" t="s">
        <v>166</v>
      </c>
      <c r="I12" s="6" t="s">
        <v>66</v>
      </c>
    </row>
    <row r="13" customFormat="false" ht="30" hidden="false" customHeight="true" outlineLevel="0" collapsed="false">
      <c r="A13" s="16" t="s">
        <v>167</v>
      </c>
      <c r="B13" s="20" t="s">
        <v>168</v>
      </c>
      <c r="C13" s="18" t="n">
        <v>5</v>
      </c>
      <c r="D13" s="18" t="n">
        <v>3</v>
      </c>
      <c r="E13" s="18" t="n">
        <v>4</v>
      </c>
      <c r="F13" s="18" t="n">
        <v>5</v>
      </c>
      <c r="G13" s="18" t="n">
        <v>3</v>
      </c>
      <c r="H13" s="17" t="s">
        <v>169</v>
      </c>
      <c r="I13" s="30" t="n">
        <f aca="false">IF(H13="No","Descartada",C13*$B$5+D13*$B$6+E13*$B$7+F13*$B$8+G13*$B$9)</f>
        <v>4.2</v>
      </c>
    </row>
    <row r="14" customFormat="false" ht="30" hidden="false" customHeight="true" outlineLevel="0" collapsed="false">
      <c r="A14" s="16" t="s">
        <v>170</v>
      </c>
      <c r="B14" s="20" t="s">
        <v>171</v>
      </c>
      <c r="C14" s="18" t="n">
        <v>3</v>
      </c>
      <c r="D14" s="18" t="n">
        <v>5</v>
      </c>
      <c r="E14" s="18" t="n">
        <v>5</v>
      </c>
      <c r="F14" s="18" t="n">
        <v>4</v>
      </c>
      <c r="G14" s="18" t="n">
        <v>4</v>
      </c>
      <c r="H14" s="17" t="s">
        <v>169</v>
      </c>
      <c r="I14" s="30" t="n">
        <f aca="false">IF(H14="No","Descartada",C14*$B$5+D14*$B$6+E14*$B$7+F14*$B$8+G14*$B$9)</f>
        <v>4.1</v>
      </c>
    </row>
    <row r="15" customFormat="false" ht="30" hidden="false" customHeight="true" outlineLevel="0" collapsed="false">
      <c r="A15" s="16" t="s">
        <v>172</v>
      </c>
      <c r="B15" s="20" t="s">
        <v>173</v>
      </c>
      <c r="C15" s="18" t="n">
        <v>2</v>
      </c>
      <c r="D15" s="18" t="n">
        <v>5</v>
      </c>
      <c r="E15" s="18" t="n">
        <v>5</v>
      </c>
      <c r="F15" s="18" t="n">
        <v>3</v>
      </c>
      <c r="G15" s="18" t="n">
        <v>4</v>
      </c>
      <c r="H15" s="17" t="s">
        <v>169</v>
      </c>
      <c r="I15" s="30" t="n">
        <f aca="false">IF(H15="No","Descartada",C15*$B$5+D15*$B$6+E15*$B$7+F15*$B$8+G15*$B$9)</f>
        <v>3.6</v>
      </c>
    </row>
    <row r="16" customFormat="false" ht="30" hidden="false" customHeight="true" outlineLevel="0" collapsed="false">
      <c r="A16" s="16" t="s">
        <v>174</v>
      </c>
      <c r="B16" s="20" t="s">
        <v>175</v>
      </c>
      <c r="C16" s="18" t="n">
        <v>4</v>
      </c>
      <c r="D16" s="18" t="n">
        <v>4</v>
      </c>
      <c r="E16" s="18" t="n">
        <v>3</v>
      </c>
      <c r="F16" s="18" t="n">
        <v>5</v>
      </c>
      <c r="G16" s="18" t="n">
        <v>3</v>
      </c>
      <c r="H16" s="17" t="s">
        <v>169</v>
      </c>
      <c r="I16" s="30" t="n">
        <f aca="false">IF(H16="No","Descartada",C16*$B$5+D16*$B$6+E16*$B$7+F16*$B$8+G16*$B$9)</f>
        <v>3.9</v>
      </c>
    </row>
    <row r="17" customFormat="false" ht="30" hidden="false" customHeight="true" outlineLevel="0" collapsed="false">
      <c r="A17" s="16" t="s">
        <v>176</v>
      </c>
      <c r="B17" s="20" t="s">
        <v>177</v>
      </c>
      <c r="C17" s="18" t="n">
        <v>5</v>
      </c>
      <c r="D17" s="18" t="n">
        <v>1</v>
      </c>
      <c r="E17" s="18" t="n">
        <v>2</v>
      </c>
      <c r="F17" s="18" t="n">
        <v>1</v>
      </c>
      <c r="G17" s="18" t="n">
        <v>1</v>
      </c>
      <c r="H17" s="17" t="s">
        <v>178</v>
      </c>
      <c r="I17" s="30" t="str">
        <f aca="false">IF(H17="No","Descartada",C17*$B$5+D17*$B$6+E17*$B$7+F17*$B$8+G17*$B$9)</f>
        <v>Descartada</v>
      </c>
    </row>
    <row r="19" customFormat="false" ht="15" hidden="false" customHeight="false" outlineLevel="0" collapsed="false">
      <c r="A19" s="7" t="s">
        <v>179</v>
      </c>
      <c r="C19" s="10" t="str">
        <f aca="false">INDEX(A13:A17,MATCH(MAX(I13:I17),I13:I17,0))</f>
        <v>Planta exportadora de pulpas como usuario industrial de zona franca con PIAV</v>
      </c>
    </row>
    <row r="21" customFormat="false" ht="15" hidden="false" customHeight="false" outlineLevel="0" collapsed="false">
      <c r="A21" s="2" t="s">
        <v>180</v>
      </c>
    </row>
  </sheetData>
  <dataValidations count="1">
    <dataValidation allowBlank="false" errorStyle="stop" operator="between" showDropDown="false" showErrorMessage="false" showInputMessage="false" sqref="H13:H17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4" min="4" style="0" width="9"/>
    <col collapsed="false" customWidth="true" hidden="false" outlineLevel="0" max="7" min="5" style="0" width="10"/>
    <col collapsed="false" customWidth="true" hidden="false" outlineLevel="0" max="8" min="8" style="0" width="12"/>
    <col collapsed="false" customWidth="true" hidden="false" outlineLevel="0" max="9" min="9" style="0" width="18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1" t="s">
        <v>181</v>
      </c>
    </row>
    <row r="2" customFormat="false" ht="15" hidden="false" customHeight="false" outlineLevel="0" collapsed="false">
      <c r="A2" s="2" t="s">
        <v>182</v>
      </c>
    </row>
    <row r="4" customFormat="false" ht="30" hidden="false" customHeight="true" outlineLevel="0" collapsed="false">
      <c r="A4" s="6" t="s">
        <v>183</v>
      </c>
      <c r="B4" s="6" t="s">
        <v>184</v>
      </c>
      <c r="C4" s="6" t="s">
        <v>185</v>
      </c>
      <c r="D4" s="6" t="s">
        <v>186</v>
      </c>
      <c r="E4" s="6" t="s">
        <v>187</v>
      </c>
      <c r="F4" s="6" t="s">
        <v>188</v>
      </c>
      <c r="G4" s="6" t="s">
        <v>189</v>
      </c>
      <c r="H4" s="6" t="s">
        <v>190</v>
      </c>
      <c r="I4" s="6" t="s">
        <v>191</v>
      </c>
      <c r="J4" s="6" t="s">
        <v>192</v>
      </c>
    </row>
    <row r="5" customFormat="false" ht="27.75" hidden="false" customHeight="true" outlineLevel="0" collapsed="false">
      <c r="A5" s="11" t="s">
        <v>193</v>
      </c>
      <c r="B5" s="8" t="s">
        <v>194</v>
      </c>
      <c r="C5" s="8" t="s">
        <v>195</v>
      </c>
      <c r="D5" s="17" t="s">
        <v>196</v>
      </c>
      <c r="E5" s="31" t="n">
        <v>0</v>
      </c>
      <c r="F5" s="31" t="n">
        <v>5</v>
      </c>
      <c r="G5" s="31" t="n">
        <v>12</v>
      </c>
      <c r="H5" s="32" t="str">
        <f aca="false">IF(G5="","",IF(D5="Mayor",IF(G5&gt;=E5,"Verde",IF(G5&gt;=E5-F5,"Amarillo","Rojo")),IF(G5&lt;=E5,"Verde",IF(G5&lt;=E5+F5,"Amarillo","Rojo"))))</f>
        <v>Rojo</v>
      </c>
      <c r="I5" s="11" t="s">
        <v>197</v>
      </c>
      <c r="J5" s="20" t="s">
        <v>198</v>
      </c>
    </row>
    <row r="6" customFormat="false" ht="27.75" hidden="false" customHeight="true" outlineLevel="0" collapsed="false">
      <c r="A6" s="11" t="s">
        <v>193</v>
      </c>
      <c r="B6" s="8" t="s">
        <v>199</v>
      </c>
      <c r="C6" s="8" t="s">
        <v>200</v>
      </c>
      <c r="D6" s="17" t="s">
        <v>196</v>
      </c>
      <c r="E6" s="18" t="n">
        <v>50</v>
      </c>
      <c r="F6" s="18" t="n">
        <v>10</v>
      </c>
      <c r="G6" s="18" t="n">
        <v>46</v>
      </c>
      <c r="H6" s="32" t="str">
        <f aca="false">IF(G6="","",IF(D6="Mayor",IF(G6&gt;=E6,"Verde",IF(G6&gt;=E6-F6,"Amarillo","Rojo")),IF(G6&lt;=E6,"Verde",IF(G6&lt;=E6+F6,"Amarillo","Rojo"))))</f>
        <v>Verde</v>
      </c>
      <c r="I6" s="11" t="s">
        <v>201</v>
      </c>
      <c r="J6" s="20" t="s">
        <v>202</v>
      </c>
    </row>
    <row r="7" customFormat="false" ht="27.75" hidden="false" customHeight="true" outlineLevel="0" collapsed="false">
      <c r="A7" s="11" t="s">
        <v>193</v>
      </c>
      <c r="B7" s="8" t="s">
        <v>203</v>
      </c>
      <c r="C7" s="8" t="s">
        <v>204</v>
      </c>
      <c r="D7" s="17" t="s">
        <v>205</v>
      </c>
      <c r="E7" s="33" t="n">
        <v>0.15</v>
      </c>
      <c r="F7" s="33" t="n">
        <v>0</v>
      </c>
      <c r="G7" s="33" t="n">
        <v>0.31</v>
      </c>
      <c r="H7" s="32" t="str">
        <f aca="false">IF(G7="","",IF(D7="Mayor",IF(G7&gt;=E7,"Verde",IF(G7&gt;=E7-F7,"Amarillo","Rojo")),IF(G7&lt;=E7,"Verde",IF(G7&lt;=E7+F7,"Amarillo","Rojo"))))</f>
        <v>Verde</v>
      </c>
      <c r="I7" s="11" t="s">
        <v>197</v>
      </c>
      <c r="J7" s="20" t="s">
        <v>206</v>
      </c>
    </row>
    <row r="8" customFormat="false" ht="27.75" hidden="false" customHeight="true" outlineLevel="0" collapsed="false">
      <c r="A8" s="11" t="s">
        <v>207</v>
      </c>
      <c r="B8" s="8" t="s">
        <v>208</v>
      </c>
      <c r="C8" s="8" t="s">
        <v>209</v>
      </c>
      <c r="D8" s="17" t="s">
        <v>205</v>
      </c>
      <c r="E8" s="33" t="n">
        <v>1</v>
      </c>
      <c r="F8" s="33" t="n">
        <v>0</v>
      </c>
      <c r="G8" s="33" t="n">
        <v>1</v>
      </c>
      <c r="H8" s="32" t="str">
        <f aca="false">IF(G8="","",IF(D8="Mayor",IF(G8&gt;=E8,"Verde",IF(G8&gt;=E8-F8,"Amarillo","Rojo")),IF(G8&lt;=E8,"Verde",IF(G8&lt;=E8+F8,"Amarillo","Rojo"))))</f>
        <v>Verde</v>
      </c>
      <c r="I8" s="11" t="s">
        <v>210</v>
      </c>
      <c r="J8" s="20" t="s">
        <v>198</v>
      </c>
    </row>
    <row r="9" customFormat="false" ht="27.75" hidden="false" customHeight="true" outlineLevel="0" collapsed="false">
      <c r="A9" s="11" t="s">
        <v>207</v>
      </c>
      <c r="B9" s="8" t="s">
        <v>211</v>
      </c>
      <c r="C9" s="8" t="s">
        <v>212</v>
      </c>
      <c r="D9" s="17" t="s">
        <v>205</v>
      </c>
      <c r="E9" s="33" t="n">
        <v>1</v>
      </c>
      <c r="F9" s="33" t="n">
        <v>0.05</v>
      </c>
      <c r="G9" s="33" t="n">
        <v>0.92</v>
      </c>
      <c r="H9" s="32" t="str">
        <f aca="false">IF(G9="","",IF(D9="Mayor",IF(G9&gt;=E9,"Verde",IF(G9&gt;=E9-F9,"Amarillo","Rojo")),IF(G9&lt;=E9,"Verde",IF(G9&lt;=E9+F9,"Amarillo","Rojo"))))</f>
        <v>Rojo</v>
      </c>
      <c r="I9" s="11" t="s">
        <v>197</v>
      </c>
      <c r="J9" s="20" t="s">
        <v>202</v>
      </c>
    </row>
    <row r="10" customFormat="false" ht="27.75" hidden="false" customHeight="true" outlineLevel="0" collapsed="false">
      <c r="A10" s="11" t="s">
        <v>213</v>
      </c>
      <c r="B10" s="8" t="s">
        <v>214</v>
      </c>
      <c r="C10" s="8" t="s">
        <v>215</v>
      </c>
      <c r="D10" s="17" t="s">
        <v>196</v>
      </c>
      <c r="E10" s="34" t="n">
        <v>0.005</v>
      </c>
      <c r="F10" s="34" t="n">
        <v>0.005</v>
      </c>
      <c r="G10" s="34" t="n">
        <v>0.007</v>
      </c>
      <c r="H10" s="32" t="str">
        <f aca="false">IF(G10="","",IF(D10="Mayor",IF(G10&gt;=E10,"Verde",IF(G10&gt;=E10-F10,"Amarillo","Rojo")),IF(G10&lt;=E10,"Verde",IF(G10&lt;=E10+F10,"Amarillo","Rojo"))))</f>
        <v>Amarillo</v>
      </c>
      <c r="I10" s="11" t="s">
        <v>216</v>
      </c>
      <c r="J10" s="20" t="s">
        <v>198</v>
      </c>
    </row>
    <row r="11" customFormat="false" ht="27.75" hidden="false" customHeight="true" outlineLevel="0" collapsed="false">
      <c r="A11" s="11" t="s">
        <v>213</v>
      </c>
      <c r="B11" s="8" t="s">
        <v>217</v>
      </c>
      <c r="C11" s="8" t="s">
        <v>218</v>
      </c>
      <c r="D11" s="17" t="s">
        <v>205</v>
      </c>
      <c r="E11" s="33" t="n">
        <v>1</v>
      </c>
      <c r="F11" s="33" t="n">
        <v>0.1</v>
      </c>
      <c r="G11" s="33" t="n">
        <v>0.5</v>
      </c>
      <c r="H11" s="32" t="str">
        <f aca="false">IF(G11="","",IF(D11="Mayor",IF(G11&gt;=E11,"Verde",IF(G11&gt;=E11-F11,"Amarillo","Rojo")),IF(G11&lt;=E11,"Verde",IF(G11&lt;=E11+F11,"Amarillo","Rojo"))))</f>
        <v>Rojo</v>
      </c>
      <c r="I11" s="11" t="s">
        <v>219</v>
      </c>
      <c r="J11" s="20" t="s">
        <v>220</v>
      </c>
    </row>
    <row r="12" customFormat="false" ht="27.75" hidden="false" customHeight="true" outlineLevel="0" collapsed="false">
      <c r="A12" s="11" t="s">
        <v>221</v>
      </c>
      <c r="B12" s="8" t="s">
        <v>222</v>
      </c>
      <c r="C12" s="8" t="s">
        <v>223</v>
      </c>
      <c r="D12" s="17" t="s">
        <v>196</v>
      </c>
      <c r="E12" s="18" t="n">
        <v>30</v>
      </c>
      <c r="F12" s="18" t="n">
        <v>10</v>
      </c>
      <c r="G12" s="18" t="n">
        <v>21</v>
      </c>
      <c r="H12" s="32" t="str">
        <f aca="false">IF(G12="","",IF(D12="Mayor",IF(G12&gt;=E12,"Verde",IF(G12&gt;=E12-F12,"Amarillo","Rojo")),IF(G12&lt;=E12,"Verde",IF(G12&lt;=E12+F12,"Amarillo","Rojo"))))</f>
        <v>Verde</v>
      </c>
      <c r="I12" s="11" t="s">
        <v>197</v>
      </c>
      <c r="J12" s="20" t="s">
        <v>224</v>
      </c>
    </row>
    <row r="13" customFormat="false" ht="27.75" hidden="false" customHeight="true" outlineLevel="0" collapsed="false">
      <c r="A13" s="11" t="s">
        <v>221</v>
      </c>
      <c r="B13" s="8" t="s">
        <v>225</v>
      </c>
      <c r="C13" s="8" t="s">
        <v>226</v>
      </c>
      <c r="D13" s="17" t="s">
        <v>205</v>
      </c>
      <c r="E13" s="18" t="n">
        <v>40</v>
      </c>
      <c r="F13" s="18" t="n">
        <v>10</v>
      </c>
      <c r="G13" s="18" t="n">
        <v>28</v>
      </c>
      <c r="H13" s="32" t="str">
        <f aca="false">IF(G13="","",IF(D13="Mayor",IF(G13&gt;=E13,"Verde",IF(G13&gt;=E13-F13,"Amarillo","Rojo")),IF(G13&lt;=E13,"Verde",IF(G13&lt;=E13+F13,"Amarillo","Rojo"))))</f>
        <v>Rojo</v>
      </c>
      <c r="I13" s="11" t="s">
        <v>227</v>
      </c>
      <c r="J13" s="20" t="s">
        <v>206</v>
      </c>
    </row>
    <row r="15" customFormat="false" ht="15" hidden="false" customHeight="false" outlineLevel="0" collapsed="false">
      <c r="A15" s="3" t="s">
        <v>228</v>
      </c>
    </row>
    <row r="16" customFormat="false" ht="15" hidden="false" customHeight="false" outlineLevel="0" collapsed="false">
      <c r="A16" s="7" t="s">
        <v>229</v>
      </c>
      <c r="B16" s="35" t="n">
        <f aca="false">COUNTIF($H$5:$H$13,A16)</f>
        <v>4</v>
      </c>
    </row>
    <row r="17" customFormat="false" ht="15" hidden="false" customHeight="false" outlineLevel="0" collapsed="false">
      <c r="A17" s="7" t="s">
        <v>230</v>
      </c>
      <c r="B17" s="35" t="n">
        <f aca="false">COUNTIF($H$5:$H$13,A17)</f>
        <v>1</v>
      </c>
    </row>
    <row r="18" customFormat="false" ht="15" hidden="false" customHeight="false" outlineLevel="0" collapsed="false">
      <c r="A18" s="7" t="s">
        <v>231</v>
      </c>
      <c r="B18" s="35" t="n">
        <f aca="false">COUNTIF($H$5:$H$13,A18)</f>
        <v>4</v>
      </c>
    </row>
    <row r="20" customFormat="false" ht="15" hidden="false" customHeight="false" outlineLevel="0" collapsed="false">
      <c r="A20" s="2" t="s">
        <v>232</v>
      </c>
    </row>
  </sheetData>
  <conditionalFormatting sqref="H5:H13">
    <cfRule type="expression" priority="2" aboveAverage="0" equalAverage="0" bottom="0" percent="0" rank="0" text="" dxfId="0">
      <formula>$H5="Verde"</formula>
    </cfRule>
    <cfRule type="expression" priority="3" aboveAverage="0" equalAverage="0" bottom="0" percent="0" rank="0" text="" dxfId="1">
      <formula>$H5="Amarillo"</formula>
    </cfRule>
    <cfRule type="expression" priority="4" aboveAverage="0" equalAverage="0" bottom="0" percent="0" rank="0" text="" dxfId="2">
      <formula>$H5="Rojo"</formula>
    </cfRule>
  </conditionalFormatting>
  <dataValidations count="1">
    <dataValidation allowBlank="false" errorStyle="stop" operator="between" showDropDown="false" showErrorMessage="false" showInputMessage="false" sqref="D5:D13" type="list">
      <formula1>"Mayor,Menor"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" t="s">
        <v>233</v>
      </c>
    </row>
    <row r="2" customFormat="false" ht="15" hidden="false" customHeight="false" outlineLevel="0" collapsed="false">
      <c r="A2" s="2" t="s">
        <v>234</v>
      </c>
    </row>
    <row r="4" customFormat="false" ht="15" hidden="false" customHeight="false" outlineLevel="0" collapsed="false">
      <c r="A4" s="11" t="s">
        <v>235</v>
      </c>
      <c r="B4" s="23" t="n">
        <v>14800</v>
      </c>
    </row>
    <row r="5" customFormat="false" ht="15" hidden="false" customHeight="false" outlineLevel="0" collapsed="false">
      <c r="A5" s="11" t="s">
        <v>236</v>
      </c>
      <c r="B5" s="23" t="n">
        <v>600</v>
      </c>
    </row>
    <row r="6" customFormat="false" ht="15" hidden="false" customHeight="false" outlineLevel="0" collapsed="false">
      <c r="A6" s="11" t="s">
        <v>237</v>
      </c>
      <c r="B6" s="23" t="n">
        <v>0</v>
      </c>
    </row>
    <row r="7" customFormat="false" ht="15" hidden="false" customHeight="false" outlineLevel="0" collapsed="false">
      <c r="A7" s="11" t="s">
        <v>238</v>
      </c>
      <c r="B7" s="24" t="n">
        <f aca="false">B4+B5-B6</f>
        <v>15400</v>
      </c>
    </row>
    <row r="8" customFormat="false" ht="15" hidden="false" customHeight="false" outlineLevel="0" collapsed="false">
      <c r="A8" s="11" t="s">
        <v>239</v>
      </c>
      <c r="B8" s="23" t="n">
        <v>1900</v>
      </c>
      <c r="C8" s="2" t="s">
        <v>240</v>
      </c>
    </row>
    <row r="9" customFormat="false" ht="15" hidden="false" customHeight="false" outlineLevel="0" collapsed="false">
      <c r="A9" s="11" t="s">
        <v>241</v>
      </c>
      <c r="B9" s="36" t="n">
        <f aca="false">IF(B7&lt;=0,"No aplica",B8/B7)</f>
        <v>0.123376623376623</v>
      </c>
    </row>
    <row r="10" customFormat="false" ht="15" hidden="false" customHeight="false" outlineLevel="0" collapsed="false">
      <c r="A10" s="11" t="s">
        <v>242</v>
      </c>
      <c r="B10" s="37" t="n">
        <f aca="false">IF(B7&lt;=0,0,MAX(0,B7*Normas!$B$10-B8))</f>
        <v>410</v>
      </c>
      <c r="C10" s="2" t="s">
        <v>243</v>
      </c>
    </row>
    <row r="12" customFormat="false" ht="15" hidden="false" customHeight="false" outlineLevel="0" collapsed="false">
      <c r="A12" s="2" t="s">
        <v>244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F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6" min="2" style="0" width="13"/>
    <col collapsed="false" customWidth="true" hidden="false" outlineLevel="0" max="7" min="7" style="0" width="4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1" t="s">
        <v>245</v>
      </c>
    </row>
    <row r="2" customFormat="false" ht="15" hidden="false" customHeight="false" outlineLevel="0" collapsed="false">
      <c r="A2" s="2" t="s">
        <v>246</v>
      </c>
    </row>
    <row r="4" customFormat="false" ht="15" hidden="false" customHeight="false" outlineLevel="0" collapsed="false">
      <c r="A4" s="3" t="s">
        <v>247</v>
      </c>
    </row>
    <row r="5" customFormat="false" ht="15" hidden="false" customHeight="false" outlineLevel="0" collapsed="false">
      <c r="A5" s="11" t="s">
        <v>248</v>
      </c>
      <c r="B5" s="23" t="n">
        <v>7500</v>
      </c>
    </row>
    <row r="6" customFormat="false" ht="15" hidden="false" customHeight="false" outlineLevel="0" collapsed="false">
      <c r="A6" s="11" t="s">
        <v>249</v>
      </c>
      <c r="B6" s="12" t="n">
        <v>0.05</v>
      </c>
    </row>
    <row r="7" customFormat="false" ht="15" hidden="false" customHeight="false" outlineLevel="0" collapsed="false">
      <c r="A7" s="11" t="s">
        <v>250</v>
      </c>
      <c r="B7" s="12" t="n">
        <v>0.13</v>
      </c>
    </row>
    <row r="8" customFormat="false" ht="15" hidden="false" customHeight="false" outlineLevel="0" collapsed="false">
      <c r="A8" s="11" t="s">
        <v>251</v>
      </c>
      <c r="B8" s="12" t="n">
        <v>0.65</v>
      </c>
    </row>
    <row r="9" customFormat="false" ht="15" hidden="false" customHeight="false" outlineLevel="0" collapsed="false">
      <c r="A9" s="11" t="s">
        <v>252</v>
      </c>
      <c r="B9" s="23" t="n">
        <v>350</v>
      </c>
      <c r="C9" s="2" t="s">
        <v>253</v>
      </c>
    </row>
    <row r="10" customFormat="false" ht="15" hidden="false" customHeight="false" outlineLevel="0" collapsed="false">
      <c r="A10" s="11" t="s">
        <v>254</v>
      </c>
      <c r="B10" s="23" t="n">
        <v>1200</v>
      </c>
    </row>
    <row r="11" customFormat="false" ht="15" hidden="false" customHeight="false" outlineLevel="0" collapsed="false">
      <c r="A11" s="11" t="s">
        <v>255</v>
      </c>
      <c r="B11" s="12" t="n">
        <v>0.2</v>
      </c>
    </row>
    <row r="12" customFormat="false" ht="15" hidden="false" customHeight="false" outlineLevel="0" collapsed="false">
      <c r="A12" s="11" t="s">
        <v>256</v>
      </c>
      <c r="B12" s="38" t="n">
        <f aca="false">B8*Normas!$B$6+(1-B8)*Normas!$B$5</f>
        <v>0.2525</v>
      </c>
    </row>
    <row r="14" customFormat="false" ht="15" hidden="false" customHeight="false" outlineLevel="0" collapsed="false">
      <c r="A14" s="3" t="s">
        <v>257</v>
      </c>
    </row>
    <row r="15" customFormat="false" ht="30" hidden="false" customHeight="true" outlineLevel="0" collapsed="false">
      <c r="A15" s="6" t="s">
        <v>110</v>
      </c>
      <c r="B15" s="6" t="s">
        <v>258</v>
      </c>
      <c r="C15" s="6" t="s">
        <v>259</v>
      </c>
      <c r="D15" s="6" t="s">
        <v>260</v>
      </c>
      <c r="E15" s="6" t="s">
        <v>261</v>
      </c>
      <c r="F15" s="6" t="s">
        <v>262</v>
      </c>
    </row>
    <row r="16" customFormat="false" ht="15" hidden="false" customHeight="false" outlineLevel="0" collapsed="false">
      <c r="A16" s="11" t="s">
        <v>263</v>
      </c>
      <c r="B16" s="19" t="n">
        <v>2027</v>
      </c>
      <c r="C16" s="19" t="n">
        <v>2028</v>
      </c>
      <c r="D16" s="19" t="n">
        <v>2029</v>
      </c>
      <c r="E16" s="19" t="n">
        <v>2030</v>
      </c>
      <c r="F16" s="19" t="n">
        <v>2031</v>
      </c>
    </row>
    <row r="17" customFormat="false" ht="15" hidden="false" customHeight="false" outlineLevel="0" collapsed="false">
      <c r="A17" s="11" t="s">
        <v>264</v>
      </c>
      <c r="B17" s="24" t="n">
        <f aca="false">$B$5*(1+$B$6)^0</f>
        <v>7500</v>
      </c>
      <c r="C17" s="24" t="n">
        <f aca="false">$B$5*(1+$B$6)^1</f>
        <v>7875</v>
      </c>
      <c r="D17" s="24" t="n">
        <f aca="false">$B$5*(1+$B$6)^2</f>
        <v>8268.75</v>
      </c>
      <c r="E17" s="24" t="n">
        <f aca="false">$B$5*(1+$B$6)^3</f>
        <v>8682.1875</v>
      </c>
      <c r="F17" s="24" t="n">
        <f aca="false">$B$5*(1+$B$6)^4</f>
        <v>9116.296875</v>
      </c>
    </row>
    <row r="18" customFormat="false" ht="15" hidden="false" customHeight="false" outlineLevel="0" collapsed="false">
      <c r="A18" s="39" t="s">
        <v>265</v>
      </c>
    </row>
    <row r="19" customFormat="false" ht="15" hidden="false" customHeight="false" outlineLevel="0" collapsed="false">
      <c r="A19" s="11" t="s">
        <v>266</v>
      </c>
      <c r="B19" s="24" t="n">
        <f aca="false">B17-0</f>
        <v>7500</v>
      </c>
      <c r="C19" s="24" t="n">
        <f aca="false">C17-0</f>
        <v>7875</v>
      </c>
      <c r="D19" s="24" t="n">
        <f aca="false">D17-0</f>
        <v>8268.75</v>
      </c>
      <c r="E19" s="24" t="n">
        <f aca="false">E17-0</f>
        <v>8682.1875</v>
      </c>
      <c r="F19" s="24" t="n">
        <f aca="false">F17-0</f>
        <v>9116.296875</v>
      </c>
    </row>
    <row r="20" customFormat="false" ht="15" hidden="false" customHeight="false" outlineLevel="0" collapsed="false">
      <c r="A20" s="11" t="s">
        <v>267</v>
      </c>
      <c r="B20" s="25" t="n">
        <f aca="false">Normas!$B$5</f>
        <v>0.35</v>
      </c>
      <c r="C20" s="25" t="n">
        <f aca="false">Normas!$B$5</f>
        <v>0.35</v>
      </c>
      <c r="D20" s="25" t="n">
        <f aca="false">Normas!$B$5</f>
        <v>0.35</v>
      </c>
      <c r="E20" s="25" t="n">
        <f aca="false">Normas!$B$5</f>
        <v>0.35</v>
      </c>
      <c r="F20" s="25" t="n">
        <f aca="false">Normas!$B$5</f>
        <v>0.35</v>
      </c>
    </row>
    <row r="21" customFormat="false" ht="15" hidden="false" customHeight="false" outlineLevel="0" collapsed="false">
      <c r="A21" s="11" t="s">
        <v>268</v>
      </c>
      <c r="B21" s="24" t="n">
        <f aca="false">B19*B20</f>
        <v>2625</v>
      </c>
      <c r="C21" s="24" t="n">
        <f aca="false">C19*C20</f>
        <v>2756.25</v>
      </c>
      <c r="D21" s="24" t="n">
        <f aca="false">D19*D20</f>
        <v>2894.0625</v>
      </c>
      <c r="E21" s="24" t="n">
        <f aca="false">E19*E20</f>
        <v>3038.765625</v>
      </c>
      <c r="F21" s="24" t="n">
        <f aca="false">F19*F20</f>
        <v>3190.70390625</v>
      </c>
    </row>
    <row r="22" customFormat="false" ht="15" hidden="false" customHeight="false" outlineLevel="0" collapsed="false">
      <c r="A22" s="11" t="s">
        <v>269</v>
      </c>
      <c r="B22" s="24" t="n">
        <f aca="false">B19-B21</f>
        <v>4875</v>
      </c>
      <c r="C22" s="24" t="n">
        <f aca="false">C19-C21</f>
        <v>5118.75</v>
      </c>
      <c r="D22" s="24" t="n">
        <f aca="false">D19-D21</f>
        <v>5374.6875</v>
      </c>
      <c r="E22" s="24" t="n">
        <f aca="false">E19-E21</f>
        <v>5643.421875</v>
      </c>
      <c r="F22" s="24" t="n">
        <f aca="false">F19-F21</f>
        <v>5925.59296875</v>
      </c>
    </row>
    <row r="24" customFormat="false" ht="15" hidden="false" customHeight="false" outlineLevel="0" collapsed="false">
      <c r="A24" s="39" t="s">
        <v>270</v>
      </c>
    </row>
    <row r="25" customFormat="false" ht="15" hidden="false" customHeight="false" outlineLevel="0" collapsed="false">
      <c r="A25" s="11" t="s">
        <v>266</v>
      </c>
      <c r="B25" s="24" t="n">
        <f aca="false">B17-$B$9</f>
        <v>7150</v>
      </c>
      <c r="C25" s="24" t="n">
        <f aca="false">C17-$B$9</f>
        <v>7525</v>
      </c>
      <c r="D25" s="24" t="n">
        <f aca="false">D17-$B$9</f>
        <v>7918.75</v>
      </c>
      <c r="E25" s="24" t="n">
        <f aca="false">E17-$B$9</f>
        <v>8332.1875</v>
      </c>
      <c r="F25" s="24" t="n">
        <f aca="false">F17-$B$9</f>
        <v>8766.296875</v>
      </c>
    </row>
    <row r="26" customFormat="false" ht="15" hidden="false" customHeight="false" outlineLevel="0" collapsed="false">
      <c r="A26" s="11" t="s">
        <v>267</v>
      </c>
      <c r="B26" s="25" t="n">
        <f aca="false">$B$12</f>
        <v>0.2525</v>
      </c>
      <c r="C26" s="25" t="n">
        <f aca="false">$B$12</f>
        <v>0.2525</v>
      </c>
      <c r="D26" s="25" t="n">
        <f aca="false">$B$12</f>
        <v>0.2525</v>
      </c>
      <c r="E26" s="25" t="n">
        <f aca="false">$B$12</f>
        <v>0.2525</v>
      </c>
      <c r="F26" s="25" t="n">
        <f aca="false">$B$12</f>
        <v>0.2525</v>
      </c>
    </row>
    <row r="27" customFormat="false" ht="15" hidden="false" customHeight="false" outlineLevel="0" collapsed="false">
      <c r="A27" s="11" t="s">
        <v>268</v>
      </c>
      <c r="B27" s="24" t="n">
        <f aca="false">B25*B26</f>
        <v>1805.375</v>
      </c>
      <c r="C27" s="24" t="n">
        <f aca="false">C25*C26</f>
        <v>1900.0625</v>
      </c>
      <c r="D27" s="24" t="n">
        <f aca="false">D25*D26</f>
        <v>1999.484375</v>
      </c>
      <c r="E27" s="24" t="n">
        <f aca="false">E25*E26</f>
        <v>2103.87734375</v>
      </c>
      <c r="F27" s="24" t="n">
        <f aca="false">F25*F26</f>
        <v>2213.4899609375</v>
      </c>
    </row>
    <row r="28" customFormat="false" ht="15" hidden="false" customHeight="false" outlineLevel="0" collapsed="false">
      <c r="A28" s="11" t="s">
        <v>269</v>
      </c>
      <c r="B28" s="24" t="n">
        <f aca="false">B25-B27</f>
        <v>5344.625</v>
      </c>
      <c r="C28" s="24" t="n">
        <f aca="false">C25-C27</f>
        <v>5624.9375</v>
      </c>
      <c r="D28" s="24" t="n">
        <f aca="false">D25-D27</f>
        <v>5919.265625</v>
      </c>
      <c r="E28" s="24" t="n">
        <f aca="false">E25-E27</f>
        <v>6228.31015625</v>
      </c>
      <c r="F28" s="24" t="n">
        <f aca="false">F25-F27</f>
        <v>6552.8069140625</v>
      </c>
    </row>
    <row r="30" customFormat="false" ht="15" hidden="false" customHeight="false" outlineLevel="0" collapsed="false">
      <c r="A30" s="39" t="s">
        <v>271</v>
      </c>
    </row>
    <row r="31" customFormat="false" ht="15" hidden="false" customHeight="false" outlineLevel="0" collapsed="false">
      <c r="A31" s="11" t="s">
        <v>266</v>
      </c>
      <c r="B31" s="24" t="n">
        <f aca="false">B17-$B$10</f>
        <v>6300</v>
      </c>
      <c r="C31" s="24" t="n">
        <f aca="false">C17-$B$10</f>
        <v>6675</v>
      </c>
      <c r="D31" s="24" t="n">
        <f aca="false">D17-$B$10</f>
        <v>7068.75</v>
      </c>
      <c r="E31" s="24" t="n">
        <f aca="false">E17-$B$10</f>
        <v>7482.1875</v>
      </c>
      <c r="F31" s="24" t="n">
        <f aca="false">F17-$B$10</f>
        <v>7916.296875</v>
      </c>
    </row>
    <row r="32" customFormat="false" ht="15" hidden="false" customHeight="false" outlineLevel="0" collapsed="false">
      <c r="A32" s="11" t="s">
        <v>267</v>
      </c>
      <c r="B32" s="25" t="n">
        <f aca="false">IF(B$16&lt;=Normas!$B$9,Normas!$B$5*Normas!$B$7,Normas!$B$5)</f>
        <v>0.2625</v>
      </c>
      <c r="C32" s="25" t="n">
        <f aca="false">IF(C$16&lt;=Normas!$B$9,Normas!$B$5*Normas!$B$7,Normas!$B$5)</f>
        <v>0.35</v>
      </c>
      <c r="D32" s="25" t="n">
        <f aca="false">IF(D$16&lt;=Normas!$B$9,Normas!$B$5*Normas!$B$7,Normas!$B$5)</f>
        <v>0.35</v>
      </c>
      <c r="E32" s="25" t="n">
        <f aca="false">IF(E$16&lt;=Normas!$B$9,Normas!$B$5*Normas!$B$7,Normas!$B$5)</f>
        <v>0.35</v>
      </c>
      <c r="F32" s="25" t="n">
        <f aca="false">IF(F$16&lt;=Normas!$B$9,Normas!$B$5*Normas!$B$7,Normas!$B$5)</f>
        <v>0.35</v>
      </c>
    </row>
    <row r="33" customFormat="false" ht="15" hidden="false" customHeight="false" outlineLevel="0" collapsed="false">
      <c r="A33" s="11" t="s">
        <v>268</v>
      </c>
      <c r="B33" s="24" t="n">
        <f aca="false">B31*B32</f>
        <v>1653.75</v>
      </c>
      <c r="C33" s="24" t="n">
        <f aca="false">C31*C32</f>
        <v>2336.25</v>
      </c>
      <c r="D33" s="24" t="n">
        <f aca="false">D31*D32</f>
        <v>2474.0625</v>
      </c>
      <c r="E33" s="24" t="n">
        <f aca="false">E31*E32</f>
        <v>2618.765625</v>
      </c>
      <c r="F33" s="24" t="n">
        <f aca="false">F31*F32</f>
        <v>2770.70390625</v>
      </c>
    </row>
    <row r="34" customFormat="false" ht="15" hidden="false" customHeight="false" outlineLevel="0" collapsed="false">
      <c r="A34" s="11" t="s">
        <v>269</v>
      </c>
      <c r="B34" s="24" t="n">
        <f aca="false">B31-B33</f>
        <v>4646.25</v>
      </c>
      <c r="C34" s="24" t="n">
        <f aca="false">C31-C33</f>
        <v>4338.75</v>
      </c>
      <c r="D34" s="24" t="n">
        <f aca="false">D31-D33</f>
        <v>4594.6875</v>
      </c>
      <c r="E34" s="24" t="n">
        <f aca="false">E31-E33</f>
        <v>4863.421875</v>
      </c>
      <c r="F34" s="24" t="n">
        <f aca="false">F31-F33</f>
        <v>5145.59296875</v>
      </c>
    </row>
    <row r="36" customFormat="false" ht="15" hidden="false" customHeight="false" outlineLevel="0" collapsed="false">
      <c r="A36" s="39" t="s">
        <v>272</v>
      </c>
    </row>
    <row r="37" customFormat="false" ht="15" hidden="false" customHeight="false" outlineLevel="0" collapsed="false">
      <c r="A37" s="11" t="s">
        <v>266</v>
      </c>
      <c r="B37" s="24" t="n">
        <f aca="false">B17-$B$9</f>
        <v>7150</v>
      </c>
      <c r="C37" s="24" t="n">
        <f aca="false">C17-$B$9</f>
        <v>7525</v>
      </c>
      <c r="D37" s="24" t="n">
        <f aca="false">D17-$B$9</f>
        <v>7918.75</v>
      </c>
      <c r="E37" s="24" t="n">
        <f aca="false">E17-$B$9</f>
        <v>8332.1875</v>
      </c>
      <c r="F37" s="24" t="n">
        <f aca="false">F17-$B$9</f>
        <v>8766.296875</v>
      </c>
    </row>
    <row r="38" customFormat="false" ht="15" hidden="false" customHeight="false" outlineLevel="0" collapsed="false">
      <c r="A38" s="11" t="s">
        <v>267</v>
      </c>
      <c r="B38" s="25" t="n">
        <f aca="false">Normas!$B$5</f>
        <v>0.35</v>
      </c>
      <c r="C38" s="25" t="n">
        <f aca="false">Normas!$B$5</f>
        <v>0.35</v>
      </c>
      <c r="D38" s="25" t="n">
        <f aca="false">Normas!$B$5</f>
        <v>0.35</v>
      </c>
      <c r="E38" s="25" t="n">
        <f aca="false">Normas!$B$5</f>
        <v>0.35</v>
      </c>
      <c r="F38" s="25" t="n">
        <f aca="false">Normas!$B$5</f>
        <v>0.35</v>
      </c>
    </row>
    <row r="39" customFormat="false" ht="15" hidden="false" customHeight="false" outlineLevel="0" collapsed="false">
      <c r="A39" s="11" t="s">
        <v>268</v>
      </c>
      <c r="B39" s="24" t="n">
        <f aca="false">B37*B38</f>
        <v>2502.5</v>
      </c>
      <c r="C39" s="24" t="n">
        <f aca="false">C37*C38</f>
        <v>2633.75</v>
      </c>
      <c r="D39" s="24" t="n">
        <f aca="false">D37*D38</f>
        <v>2771.5625</v>
      </c>
      <c r="E39" s="24" t="n">
        <f aca="false">E37*E38</f>
        <v>2916.265625</v>
      </c>
      <c r="F39" s="24" t="n">
        <f aca="false">F37*F38</f>
        <v>3068.20390625</v>
      </c>
    </row>
    <row r="40" customFormat="false" ht="15" hidden="false" customHeight="false" outlineLevel="0" collapsed="false">
      <c r="A40" s="11" t="s">
        <v>269</v>
      </c>
      <c r="B40" s="24" t="n">
        <f aca="false">B37-B39</f>
        <v>4647.5</v>
      </c>
      <c r="C40" s="24" t="n">
        <f aca="false">C37-C39</f>
        <v>4891.25</v>
      </c>
      <c r="D40" s="24" t="n">
        <f aca="false">D37-D39</f>
        <v>5147.1875</v>
      </c>
      <c r="E40" s="24" t="n">
        <f aca="false">E37-E39</f>
        <v>5415.921875</v>
      </c>
      <c r="F40" s="24" t="n">
        <f aca="false">F37-F39</f>
        <v>5698.09296875</v>
      </c>
    </row>
    <row r="42" customFormat="false" ht="15" hidden="false" customHeight="false" outlineLevel="0" collapsed="false">
      <c r="A42" s="3" t="s">
        <v>273</v>
      </c>
    </row>
    <row r="43" customFormat="false" ht="30" hidden="false" customHeight="true" outlineLevel="0" collapsed="false">
      <c r="A43" s="6" t="s">
        <v>274</v>
      </c>
      <c r="B43" s="6" t="s">
        <v>275</v>
      </c>
      <c r="C43" s="6" t="s">
        <v>276</v>
      </c>
      <c r="D43" s="6" t="s">
        <v>277</v>
      </c>
      <c r="E43" s="6"/>
      <c r="F43" s="6"/>
    </row>
    <row r="44" customFormat="false" ht="15" hidden="false" customHeight="false" outlineLevel="0" collapsed="false">
      <c r="A44" s="11" t="s">
        <v>265</v>
      </c>
      <c r="B44" s="24" t="n">
        <f aca="false">B21</f>
        <v>2625</v>
      </c>
      <c r="C44" s="24" t="n">
        <f aca="false">NPV($B$7,B21:F21)</f>
        <v>10082.8054956636</v>
      </c>
      <c r="D44" s="27" t="n">
        <f aca="false">NPV($B$7,B22:F22)</f>
        <v>18725.2102062324</v>
      </c>
    </row>
    <row r="45" customFormat="false" ht="15" hidden="false" customHeight="false" outlineLevel="0" collapsed="false">
      <c r="A45" s="11" t="s">
        <v>270</v>
      </c>
      <c r="B45" s="24" t="n">
        <f aca="false">B27</f>
        <v>1805.375</v>
      </c>
      <c r="C45" s="24" t="n">
        <f aca="false">NPV($B$7,B27:F27)</f>
        <v>6963.18865198991</v>
      </c>
      <c r="D45" s="27" t="n">
        <f aca="false">NPV($B$7,B28:F28)</f>
        <v>20613.7961083662</v>
      </c>
    </row>
    <row r="46" customFormat="false" ht="15" hidden="false" customHeight="false" outlineLevel="0" collapsed="false">
      <c r="A46" s="11" t="s">
        <v>271</v>
      </c>
      <c r="B46" s="24" t="n">
        <f aca="false">B33</f>
        <v>1653.75</v>
      </c>
      <c r="C46" s="24" t="n">
        <f aca="false">NPV($B$7,B33:F33)</f>
        <v>8117.73650740859</v>
      </c>
      <c r="D46" s="27" t="n">
        <f aca="false">NPV($B$7,B34:F34)</f>
        <v>16469.6016806362</v>
      </c>
    </row>
    <row r="47" customFormat="false" ht="15" hidden="false" customHeight="false" outlineLevel="0" collapsed="false">
      <c r="A47" s="11" t="s">
        <v>272</v>
      </c>
      <c r="B47" s="24" t="n">
        <f aca="false">B39</f>
        <v>2502.5</v>
      </c>
      <c r="C47" s="24" t="n">
        <f aca="false">NPV($B$7,B39:F39)</f>
        <v>9651.94466612463</v>
      </c>
      <c r="D47" s="27" t="n">
        <f aca="false">NPV($B$7,B40:F40)</f>
        <v>17925.0400942315</v>
      </c>
    </row>
    <row r="48" customFormat="false" ht="15" hidden="false" customHeight="false" outlineLevel="0" collapsed="false">
      <c r="A48" s="7" t="s">
        <v>278</v>
      </c>
      <c r="D48" s="37" t="n">
        <f aca="false">(1-$B$11)*D45+$B$11*D47</f>
        <v>20076.0449055392</v>
      </c>
    </row>
    <row r="49" customFormat="false" ht="15" hidden="false" customHeight="false" outlineLevel="0" collapsed="false">
      <c r="A49" s="7" t="s">
        <v>279</v>
      </c>
      <c r="D49" s="10" t="str">
        <f aca="false">INDEX(A44:A46,MATCH(MAX(D44:D46),D44:D46,0))</f>
        <v>B. Usuario industrial de zona franca (con PIAV)</v>
      </c>
    </row>
    <row r="51" customFormat="false" ht="15" hidden="false" customHeight="false" outlineLevel="0" collapsed="false">
      <c r="A51" s="2" t="s">
        <v>280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0"/>
    <col collapsed="false" customWidth="true" hidden="false" outlineLevel="0" max="5" min="3" style="0" width="12"/>
  </cols>
  <sheetData>
    <row r="1" customFormat="false" ht="17.35" hidden="false" customHeight="false" outlineLevel="0" collapsed="false">
      <c r="A1" s="1" t="s">
        <v>281</v>
      </c>
    </row>
    <row r="2" customFormat="false" ht="15" hidden="false" customHeight="false" outlineLevel="0" collapsed="false">
      <c r="A2" s="2" t="s">
        <v>282</v>
      </c>
    </row>
    <row r="4" customFormat="false" ht="30" hidden="false" customHeight="true" outlineLevel="0" collapsed="false">
      <c r="A4" s="6" t="s">
        <v>283</v>
      </c>
      <c r="B4" s="6" t="s">
        <v>284</v>
      </c>
      <c r="C4" s="6" t="s">
        <v>285</v>
      </c>
      <c r="D4" s="6" t="s">
        <v>286</v>
      </c>
      <c r="E4" s="6" t="s">
        <v>287</v>
      </c>
    </row>
    <row r="5" customFormat="false" ht="15" hidden="false" customHeight="false" outlineLevel="0" collapsed="false">
      <c r="A5" s="11" t="s">
        <v>288</v>
      </c>
      <c r="B5" s="12" t="n">
        <v>0.35</v>
      </c>
      <c r="C5" s="18" t="n">
        <v>3</v>
      </c>
      <c r="D5" s="18" t="n">
        <v>5</v>
      </c>
      <c r="E5" s="18" t="n">
        <v>1</v>
      </c>
    </row>
    <row r="6" customFormat="false" ht="15" hidden="false" customHeight="false" outlineLevel="0" collapsed="false">
      <c r="A6" s="11" t="s">
        <v>289</v>
      </c>
      <c r="B6" s="12" t="n">
        <v>0.2</v>
      </c>
      <c r="C6" s="18" t="n">
        <v>4</v>
      </c>
      <c r="D6" s="18" t="n">
        <v>3</v>
      </c>
      <c r="E6" s="18" t="n">
        <v>2</v>
      </c>
    </row>
    <row r="7" customFormat="false" ht="15" hidden="false" customHeight="false" outlineLevel="0" collapsed="false">
      <c r="A7" s="11" t="s">
        <v>290</v>
      </c>
      <c r="B7" s="12" t="n">
        <v>0.2</v>
      </c>
      <c r="C7" s="18" t="n">
        <v>3</v>
      </c>
      <c r="D7" s="18" t="n">
        <v>5</v>
      </c>
      <c r="E7" s="18" t="n">
        <v>2</v>
      </c>
    </row>
    <row r="8" customFormat="false" ht="15" hidden="false" customHeight="false" outlineLevel="0" collapsed="false">
      <c r="A8" s="11" t="s">
        <v>291</v>
      </c>
      <c r="B8" s="12" t="n">
        <v>0.15</v>
      </c>
      <c r="C8" s="18" t="n">
        <v>5</v>
      </c>
      <c r="D8" s="18" t="n">
        <v>4</v>
      </c>
      <c r="E8" s="18" t="n">
        <v>2</v>
      </c>
    </row>
    <row r="9" customFormat="false" ht="15" hidden="false" customHeight="false" outlineLevel="0" collapsed="false">
      <c r="A9" s="11" t="s">
        <v>292</v>
      </c>
      <c r="B9" s="12" t="n">
        <v>0.1</v>
      </c>
      <c r="C9" s="18" t="n">
        <v>3</v>
      </c>
      <c r="D9" s="18" t="n">
        <v>3</v>
      </c>
      <c r="E9" s="18" t="n">
        <v>5</v>
      </c>
    </row>
    <row r="10" customFormat="false" ht="15" hidden="false" customHeight="false" outlineLevel="0" collapsed="false">
      <c r="A10" s="7" t="s">
        <v>293</v>
      </c>
      <c r="B10" s="29" t="n">
        <f aca="false">SUM(B5:B9)</f>
        <v>1</v>
      </c>
    </row>
    <row r="11" customFormat="false" ht="15" hidden="false" customHeight="false" outlineLevel="0" collapsed="false">
      <c r="A11" s="7" t="s">
        <v>294</v>
      </c>
      <c r="C11" s="30" t="n">
        <f aca="false">SUMPRODUCT($B$5:$B$9,C5:C9)</f>
        <v>3.5</v>
      </c>
      <c r="D11" s="30" t="n">
        <f aca="false">SUMPRODUCT($B$5:$B$9,D5:D9)</f>
        <v>4.25</v>
      </c>
      <c r="E11" s="30" t="n">
        <f aca="false">SUMPRODUCT($B$5:$B$9,E5:E9)</f>
        <v>1.95</v>
      </c>
    </row>
    <row r="13" customFormat="false" ht="15" hidden="false" customHeight="false" outlineLevel="0" collapsed="false">
      <c r="A13" s="2" t="s">
        <v>295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8"/>
  </cols>
  <sheetData>
    <row r="1" customFormat="false" ht="17.35" hidden="false" customHeight="false" outlineLevel="0" collapsed="false">
      <c r="A1" s="1" t="s">
        <v>296</v>
      </c>
    </row>
    <row r="2" customFormat="false" ht="15" hidden="false" customHeight="false" outlineLevel="0" collapsed="false">
      <c r="A2" s="2" t="s">
        <v>297</v>
      </c>
    </row>
    <row r="4" customFormat="false" ht="15" hidden="false" customHeight="false" outlineLevel="0" collapsed="false">
      <c r="A4" s="11" t="s">
        <v>298</v>
      </c>
      <c r="B4" s="23" t="n">
        <v>16000</v>
      </c>
    </row>
    <row r="5" customFormat="false" ht="15" hidden="false" customHeight="false" outlineLevel="0" collapsed="false">
      <c r="A5" s="11" t="s">
        <v>299</v>
      </c>
      <c r="B5" s="23" t="n">
        <v>9500</v>
      </c>
    </row>
    <row r="6" customFormat="false" ht="15" hidden="false" customHeight="false" outlineLevel="0" collapsed="false">
      <c r="A6" s="11" t="s">
        <v>300</v>
      </c>
      <c r="B6" s="23" t="n">
        <v>8000</v>
      </c>
    </row>
    <row r="7" customFormat="false" ht="15" hidden="false" customHeight="false" outlineLevel="0" collapsed="false">
      <c r="A7" s="11" t="s">
        <v>301</v>
      </c>
      <c r="B7" s="23" t="n">
        <v>3000</v>
      </c>
    </row>
    <row r="9" customFormat="false" ht="30" hidden="false" customHeight="true" outlineLevel="0" collapsed="false">
      <c r="A9" s="6" t="s">
        <v>110</v>
      </c>
      <c r="B9" s="6" t="s">
        <v>302</v>
      </c>
      <c r="C9" s="6" t="s">
        <v>303</v>
      </c>
    </row>
    <row r="10" customFormat="false" ht="15" hidden="false" customHeight="false" outlineLevel="0" collapsed="false">
      <c r="A10" s="11" t="s">
        <v>304</v>
      </c>
      <c r="B10" s="24" t="n">
        <f aca="false">B4-B5</f>
        <v>6500</v>
      </c>
      <c r="C10" s="24" t="n">
        <f aca="false">B4-B6</f>
        <v>8000</v>
      </c>
    </row>
    <row r="11" customFormat="false" ht="15" hidden="false" customHeight="false" outlineLevel="0" collapsed="false">
      <c r="A11" s="11" t="s">
        <v>305</v>
      </c>
      <c r="B11" s="24" t="n">
        <v>0</v>
      </c>
      <c r="C11" s="24" t="n">
        <f aca="false">MIN(B7,C10)</f>
        <v>3000</v>
      </c>
    </row>
    <row r="12" customFormat="false" ht="15" hidden="false" customHeight="false" outlineLevel="0" collapsed="false">
      <c r="A12" s="11" t="s">
        <v>306</v>
      </c>
      <c r="B12" s="24" t="n">
        <f aca="false">B10</f>
        <v>6500</v>
      </c>
      <c r="C12" s="24" t="n">
        <f aca="false">C10-C11</f>
        <v>5000</v>
      </c>
    </row>
    <row r="13" customFormat="false" ht="15" hidden="false" customHeight="false" outlineLevel="0" collapsed="false">
      <c r="A13" s="11" t="s">
        <v>307</v>
      </c>
      <c r="B13" s="24" t="n">
        <f aca="false">B11*Normas!$B$5</f>
        <v>0</v>
      </c>
      <c r="C13" s="24" t="n">
        <f aca="false">C11*Normas!$B$5</f>
        <v>1050</v>
      </c>
    </row>
    <row r="14" customFormat="false" ht="15" hidden="false" customHeight="false" outlineLevel="0" collapsed="false">
      <c r="A14" s="11" t="s">
        <v>308</v>
      </c>
      <c r="B14" s="24" t="n">
        <f aca="false">B12*Normas!$B$11</f>
        <v>975</v>
      </c>
      <c r="C14" s="24" t="n">
        <f aca="false">C12*Normas!$B$11</f>
        <v>750</v>
      </c>
    </row>
    <row r="15" customFormat="false" ht="15" hidden="false" customHeight="false" outlineLevel="0" collapsed="false">
      <c r="A15" s="7" t="s">
        <v>309</v>
      </c>
      <c r="B15" s="27" t="n">
        <f aca="false">B13+B14</f>
        <v>975</v>
      </c>
      <c r="C15" s="27" t="n">
        <f aca="false">C13+C14</f>
        <v>1800</v>
      </c>
    </row>
    <row r="17" customFormat="false" ht="15" hidden="false" customHeight="false" outlineLevel="0" collapsed="false">
      <c r="A17" s="2" t="s">
        <v>310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2026-10-11T19:20:29Z</dcterms:created>
  <dc:creator>openpyxl</dc:creator>
  <dc:description/>
  <dc:language>en-US</dc:language>
  <cp:lastModifiedBy/>
  <dcterms:modified xsi:type="dcterms:W3CDTF">2026-10-11T14:20:31Z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