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ice" sheetId="1" state="visible" r:id="rId3"/>
    <sheet name="1_Tiempo_y_tasas" sheetId="2" state="visible" r:id="rId4"/>
    <sheet name="2_Amortizacion" sheetId="3" state="visible" r:id="rId5"/>
    <sheet name="3_Inversiones" sheetId="4" state="visible" r:id="rId6"/>
    <sheet name="4_Depreciacion" sheetId="5" state="visible" r:id="rId7"/>
    <sheet name="5_Renta_fija" sheetId="6" state="visible" r:id="rId8"/>
    <sheet name="6_Otra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<sst xmlns="http://schemas.openxmlformats.org/spreadsheetml/2006/main" count="340" uniqueCount="293">
  <si>
    <t xml:space="preserve">Funciones financieras de Excel en español · Libro de ejemplos</t>
  </si>
  <si>
    <t xml:space="preserve">Complemento de la guía del curso Matemáticas para la Toma de Decisiones. Celdas amarillas: datos editables; celdas naranja: resultado de la función.</t>
  </si>
  <si>
    <t xml:space="preserve">En Excel configurado en español (Colombia) los argumentos se separan con punto y coma (;) y los decimales con coma. Si su Excel está en inglés, las mismas fórmulas aparecen con el nombre en inglés.</t>
  </si>
  <si>
    <t xml:space="preserve">1_Tiempo_y_tasas</t>
  </si>
  <si>
    <t xml:space="preserve">VA, VF, PAGO, NPER, TASA, INT.EFECTIVO, TASA.NOMINAL, VF.PLAN, P.DURACION, RRI</t>
  </si>
  <si>
    <t xml:space="preserve">2_Amortizacion</t>
  </si>
  <si>
    <t xml:space="preserve">PAGOINT, PAGOPRIN, PAGO.INT.ENTRE, PAGO.PRINC.ENTRE, INT.PAGO.DIR</t>
  </si>
  <si>
    <t xml:space="preserve">3_Inversiones</t>
  </si>
  <si>
    <t xml:space="preserve">VNA, TIR, TIRM, VNA.NO.PER, TIR.NO.PER</t>
  </si>
  <si>
    <t xml:space="preserve">4_Depreciacion</t>
  </si>
  <si>
    <t xml:space="preserve">SLN, SYD, DB, DDB, DVS, AMORTIZ.LIN, AMORTIZ.PROGRE</t>
  </si>
  <si>
    <t xml:space="preserve">5_Renta_fija</t>
  </si>
  <si>
    <t xml:space="preserve">PRECIO, RENDTO, DURACION, DURACION.MODIF, INT.ACUM, INT.ACUM.V, cupones, títulos descontados y al vencimiento</t>
  </si>
  <si>
    <t xml:space="preserve">6_Otras</t>
  </si>
  <si>
    <t xml:space="preserve">Períodos irregulares, letras del Tesoro, MONEDA.DEC y MONEDA.FRAC</t>
  </si>
  <si>
    <t xml:space="preserve">1 · Valor del dinero en el tiempo y tasas</t>
  </si>
  <si>
    <t xml:space="preserve">Convención de signos: el dinero que entra es positivo y el que sale es negativo. Tasa y periodos en la misma unidad.</t>
  </si>
  <si>
    <t xml:space="preserve">Datos del ejemplo</t>
  </si>
  <si>
    <t xml:space="preserve">Tasa mensual del crédito (13 % E.A.)</t>
  </si>
  <si>
    <t xml:space="preserve">Monto del crédito</t>
  </si>
  <si>
    <t xml:space="preserve">Plazo en meses</t>
  </si>
  <si>
    <t xml:space="preserve">Arriendo mensual anticipado</t>
  </si>
  <si>
    <t xml:space="preserve">Tasa mensual del arriendo</t>
  </si>
  <si>
    <t xml:space="preserve">Depósito mensual de ahorro</t>
  </si>
  <si>
    <t xml:space="preserve">Tasa mensual del ahorro</t>
  </si>
  <si>
    <t xml:space="preserve">Pregunta</t>
  </si>
  <si>
    <t xml:space="preserve">Resultado</t>
  </si>
  <si>
    <t xml:space="preserve">Función (español)</t>
  </si>
  <si>
    <t xml:space="preserve">Inglés</t>
  </si>
  <si>
    <t xml:space="preserve">Fórmula en Excel en español</t>
  </si>
  <si>
    <t xml:space="preserve">Lectura</t>
  </si>
  <si>
    <t xml:space="preserve">¿Cuál es la cuota mensual del crédito?</t>
  </si>
  <si>
    <t xml:space="preserve">PAGO</t>
  </si>
  <si>
    <t xml:space="preserve">PMT</t>
  </si>
  <si>
    <t xml:space="preserve">=PAGO(i;n;-P)</t>
  </si>
  <si>
    <t xml:space="preserve">Cuota fija de un crédito o anualidad.</t>
  </si>
  <si>
    <t xml:space="preserve">¿Cuánto vale hoy un arriendo de 12 meses pagado por anticipado?</t>
  </si>
  <si>
    <t xml:space="preserve">VA</t>
  </si>
  <si>
    <t xml:space="preserve">PV</t>
  </si>
  <si>
    <t xml:space="preserve">=VA(1,2%;12;-4500000;0;1)</t>
  </si>
  <si>
    <t xml:space="preserve">El último argumento 1 indica pagos anticipados.</t>
  </si>
  <si>
    <t xml:space="preserve">¿Cuánto se reúne ahorrando 24 meses?</t>
  </si>
  <si>
    <t xml:space="preserve">VF</t>
  </si>
  <si>
    <t xml:space="preserve">FV</t>
  </si>
  <si>
    <t xml:space="preserve">=VF(0,9%;24;-3000000)</t>
  </si>
  <si>
    <t xml:space="preserve">Valor futuro de una serie de depósitos.</t>
  </si>
  <si>
    <t xml:space="preserve">¿Cuántas cuotas de $2.000.000 pagan $50 M al 1,5 % mensual?</t>
  </si>
  <si>
    <t xml:space="preserve">NPER</t>
  </si>
  <si>
    <t xml:space="preserve">=NPER(1,5%;-2000000;50000000)</t>
  </si>
  <si>
    <t xml:space="preserve">Resultado fraccionario: la última cuota es menor.</t>
  </si>
  <si>
    <t xml:space="preserve">¿Qué tasa mensual tiene un crédito de $50 M con 36 cuotas de $2 M?</t>
  </si>
  <si>
    <t xml:space="preserve">TASA</t>
  </si>
  <si>
    <t xml:space="preserve">RATE</t>
  </si>
  <si>
    <t xml:space="preserve">=TASA(36;-2000000;50000000)</t>
  </si>
  <si>
    <t xml:space="preserve">Tasa implícita por periodo; conviértala a E.A. para comparar.</t>
  </si>
  <si>
    <t xml:space="preserve">¿A qué efectiva anual equivale 24 % N.M.V.?</t>
  </si>
  <si>
    <t xml:space="preserve">INT.EFECTIVO</t>
  </si>
  <si>
    <t xml:space="preserve">EFFECT</t>
  </si>
  <si>
    <t xml:space="preserve">=INT.EFECTIVO(24%;12)</t>
  </si>
  <si>
    <t xml:space="preserve">Solo convierte nominales vencidas. Las anticipadas se convierten antes a mano.</t>
  </si>
  <si>
    <t xml:space="preserve">¿Qué nominal mes vencido equivale a 26,82 % E.A.?</t>
  </si>
  <si>
    <t xml:space="preserve">TASA.NOMINAL</t>
  </si>
  <si>
    <t xml:space="preserve">NOMINAL</t>
  </si>
  <si>
    <t xml:space="preserve">=TASA.NOMINAL(26,82%;12)</t>
  </si>
  <si>
    <t xml:space="preserve">Inversa de INT.EFECTIVO.</t>
  </si>
  <si>
    <t xml:space="preserve">¿Cuánto valen $10 M después de tres años con tasas de 9 %, 10,5 % y 11 %?</t>
  </si>
  <si>
    <t xml:space="preserve">VF.PLAN</t>
  </si>
  <si>
    <t xml:space="preserve">FVSCHEDULE</t>
  </si>
  <si>
    <t xml:space="preserve">=VF.PLAN(10000000;rango con 9 %, 10,5 % y 11 %)</t>
  </si>
  <si>
    <t xml:space="preserve">Útil con tasas variables (por ejemplo, IBR + puntos que cambia cada año).</t>
  </si>
  <si>
    <t xml:space="preserve">¿Cuántos meses tarda $10 M en llegar a $15 M al 1 % mensual?</t>
  </si>
  <si>
    <t xml:space="preserve">P.DURACION</t>
  </si>
  <si>
    <t xml:space="preserve">PDURATION</t>
  </si>
  <si>
    <t xml:space="preserve">=P.DURACION(1%;10000000;15000000)</t>
  </si>
  <si>
    <t xml:space="preserve">Desde Excel 2013.</t>
  </si>
  <si>
    <t xml:space="preserve">¿Qué tasa anual convierte $100 en $150 en 5 años?</t>
  </si>
  <si>
    <t xml:space="preserve">RRI</t>
  </si>
  <si>
    <t xml:space="preserve">=RRI(5;100;150)</t>
  </si>
  <si>
    <t xml:space="preserve">Tasa de crecimiento compuesta (como la CAGR). Desde Excel 2013.</t>
  </si>
  <si>
    <t xml:space="preserve">2 · Funciones para tablas de amortización</t>
  </si>
  <si>
    <t xml:space="preserve">Crédito de vivienda de $180 M a 15 años con 13 % E.A. (mismo ejemplo del curso).</t>
  </si>
  <si>
    <t xml:space="preserve">Tasa mensual</t>
  </si>
  <si>
    <t xml:space="preserve">Monto</t>
  </si>
  <si>
    <t xml:space="preserve">¿Cuántos intereses tiene la cuota 1?</t>
  </si>
  <si>
    <t xml:space="preserve">PAGOINT</t>
  </si>
  <si>
    <t xml:space="preserve">IPMT</t>
  </si>
  <si>
    <t xml:space="preserve">=PAGOINT(i;1;180;-180000000)</t>
  </si>
  <si>
    <t xml:space="preserve">Intereses de una cuota específica en cuota fija.</t>
  </si>
  <si>
    <t xml:space="preserve">¿Cuánto abona a capital la cuota 1?</t>
  </si>
  <si>
    <t xml:space="preserve">PAGOPRIN</t>
  </si>
  <si>
    <t xml:space="preserve">PPMT</t>
  </si>
  <si>
    <t xml:space="preserve">=PAGOPRIN(i;1;180;-180000000)</t>
  </si>
  <si>
    <t xml:space="preserve">PAGOINT + PAGOPRIN = PAGO en cada periodo.</t>
  </si>
  <si>
    <t xml:space="preserve">¿Cuántos intereses se pagan en el primer año (cuotas 1 a 12)?</t>
  </si>
  <si>
    <t xml:space="preserve">PAGO.INT.ENTRE</t>
  </si>
  <si>
    <t xml:space="preserve">CUMIPMT</t>
  </si>
  <si>
    <t xml:space="preserve">=-PAGO.INT.ENTRE(i;180;180000000;1;12;0)</t>
  </si>
  <si>
    <t xml:space="preserve">Útil para el certificado anual de intereses (deducibles en renta).</t>
  </si>
  <si>
    <t xml:space="preserve">¿Cuánto capital se ha pagado en cinco años (cuotas 1 a 60)?</t>
  </si>
  <si>
    <t xml:space="preserve">PAGO.PRINC.ENTRE</t>
  </si>
  <si>
    <t xml:space="preserve">CUMPRINC</t>
  </si>
  <si>
    <t xml:space="preserve">=-PAGO.PRINC.ENTRE(i;180;180000000;1;60;0)</t>
  </si>
  <si>
    <t xml:space="preserve">Monto − capital pagado = saldo pendiente.</t>
  </si>
  <si>
    <t xml:space="preserve">Saldo después de 60 cuotas</t>
  </si>
  <si>
    <t xml:space="preserve">(combinación)</t>
  </si>
  <si>
    <t xml:space="preserve">=180000000 − PAGO.PRINC.ENTRE(…)</t>
  </si>
  <si>
    <t xml:space="preserve">Coincide con el VA de las 120 cuotas restantes.</t>
  </si>
  <si>
    <t xml:space="preserve">Saldo con VA (comprobación)</t>
  </si>
  <si>
    <t xml:space="preserve">=VA(i;120;-cuota)</t>
  </si>
  <si>
    <t xml:space="preserve">El saldo es el valor presente de lo que falta pagar.</t>
  </si>
  <si>
    <t xml:space="preserve">Abono constante: intereses del primer periodo</t>
  </si>
  <si>
    <t xml:space="preserve">INT.PAGO.DIR</t>
  </si>
  <si>
    <t xml:space="preserve">ISPMT</t>
  </si>
  <si>
    <t xml:space="preserve">=-INT.PAGO.DIR(i;0;180;180000000)</t>
  </si>
  <si>
    <t xml:space="preserve">Supone abonos iguales a capital y cuenta los periodos desde 0: para la primera cuota use 0.</t>
  </si>
  <si>
    <t xml:space="preserve">3 · Evaluación de inversiones</t>
  </si>
  <si>
    <t xml:space="preserve">Máquinas A y B (millones $), tasa de descuento 14 %. VNA descuenta desde el periodo 1: el año 0 se suma por fuera.</t>
  </si>
  <si>
    <t xml:space="preserve">Flujos</t>
  </si>
  <si>
    <t xml:space="preserve">Año</t>
  </si>
  <si>
    <t xml:space="preserve">Máquina A</t>
  </si>
  <si>
    <t xml:space="preserve">Máquina B</t>
  </si>
  <si>
    <t xml:space="preserve">Fecha</t>
  </si>
  <si>
    <t xml:space="preserve">Flujo con fechas irregulares</t>
  </si>
  <si>
    <t xml:space="preserve">Tasa de descuento</t>
  </si>
  <si>
    <t xml:space="preserve">Tasa de reinversión (TIRM)</t>
  </si>
  <si>
    <t xml:space="preserve">VPN de la máquina A</t>
  </si>
  <si>
    <t xml:space="preserve">VNA</t>
  </si>
  <si>
    <t xml:space="preserve">NPV</t>
  </si>
  <si>
    <t xml:space="preserve">=VNA(14%;B7:B11)+B6</t>
  </si>
  <si>
    <t xml:space="preserve">Error típico: incluir el año 0 dentro de VNA.</t>
  </si>
  <si>
    <t xml:space="preserve">VPN de la máquina B</t>
  </si>
  <si>
    <t xml:space="preserve">=VNA(14%;D7:D11)+D6</t>
  </si>
  <si>
    <t xml:space="preserve">B crea más valor que A.</t>
  </si>
  <si>
    <t xml:space="preserve">TIR de la máquina A</t>
  </si>
  <si>
    <t xml:space="preserve">TIR</t>
  </si>
  <si>
    <t xml:space="preserve">IRR</t>
  </si>
  <si>
    <t xml:space="preserve">=TIR(B6:B11)</t>
  </si>
  <si>
    <t xml:space="preserve">A tiene mayor TIR, pero menor VPN.</t>
  </si>
  <si>
    <t xml:space="preserve">TIR de la máquina B</t>
  </si>
  <si>
    <t xml:space="preserve">=TIR(D6:D11)</t>
  </si>
  <si>
    <t xml:space="preserve">Entre excluyentes manda el VPN.</t>
  </si>
  <si>
    <t xml:space="preserve">TIR modificada de B (financiación 14 %, reinversión 12 %)</t>
  </si>
  <si>
    <t xml:space="preserve">TIRM</t>
  </si>
  <si>
    <t xml:space="preserve">MIRR</t>
  </si>
  <si>
    <t xml:space="preserve">=TIRM(D6:D11;14%;12%)</t>
  </si>
  <si>
    <t xml:space="preserve">Corrige el supuesto de reinversión a la propia TIR.</t>
  </si>
  <si>
    <t xml:space="preserve">VPN con fechas irregulares</t>
  </si>
  <si>
    <t xml:space="preserve">VNA.NO.PER</t>
  </si>
  <si>
    <t xml:space="preserve">XNPV</t>
  </si>
  <si>
    <t xml:space="preserve">=VNA.NO.PER(14%;F6:F11;E6:E11)</t>
  </si>
  <si>
    <t xml:space="preserve">Descuenta por días reales (base 365) a tasa efectiva anual; incluye el flujo inicial.</t>
  </si>
  <si>
    <t xml:space="preserve">TIR con fechas irregulares</t>
  </si>
  <si>
    <t xml:space="preserve">TIR.NO.PER</t>
  </si>
  <si>
    <t xml:space="preserve">XIRR</t>
  </si>
  <si>
    <t xml:space="preserve">=TIR.NO.PER(F6:F11;E6:E11)</t>
  </si>
  <si>
    <t xml:space="preserve">Devuelve una tasa efectiva anual.</t>
  </si>
  <si>
    <t xml:space="preserve">4 · Depreciación de activos</t>
  </si>
  <si>
    <t xml:space="preserve">Equipo de $120 M, valor residual de $20 M y vida útil de 5 años.</t>
  </si>
  <si>
    <t xml:space="preserve">Costo</t>
  </si>
  <si>
    <t xml:space="preserve">Valor residual</t>
  </si>
  <si>
    <t xml:space="preserve">Vida útil (años)</t>
  </si>
  <si>
    <t xml:space="preserve">Fecha de compra</t>
  </si>
  <si>
    <t xml:space="preserve">Fin del primer periodo contable</t>
  </si>
  <si>
    <t xml:space="preserve">Tasa de depreciación (AMORTIZ.*)</t>
  </si>
  <si>
    <t xml:space="preserve">Línea recta: depreciación anual</t>
  </si>
  <si>
    <t xml:space="preserve">SLN</t>
  </si>
  <si>
    <t xml:space="preserve">=SLN(120000000;20000000;5)</t>
  </si>
  <si>
    <t xml:space="preserve">El método usual en Colombia para efectos fiscales (art. 137 ET).</t>
  </si>
  <si>
    <t xml:space="preserve">Suma de dígitos: año 1</t>
  </si>
  <si>
    <t xml:space="preserve">SYD</t>
  </si>
  <si>
    <t xml:space="preserve">=SYD(120000000;20000000;5;1)</t>
  </si>
  <si>
    <t xml:space="preserve">Depreciación acelerada: más al inicio.</t>
  </si>
  <si>
    <t xml:space="preserve">Saldo fijo decreciente: año 1</t>
  </si>
  <si>
    <t xml:space="preserve">DB</t>
  </si>
  <si>
    <t xml:space="preserve">=DB(120000000;20000000;5;1)</t>
  </si>
  <si>
    <t xml:space="preserve">Tasa fija redondeada a 3 decimales.</t>
  </si>
  <si>
    <t xml:space="preserve">Doble saldo decreciente: año 1</t>
  </si>
  <si>
    <t xml:space="preserve">DDB</t>
  </si>
  <si>
    <t xml:space="preserve">=DDB(120000000;20000000;5;1)</t>
  </si>
  <si>
    <t xml:space="preserve">Por defecto factor 2.</t>
  </si>
  <si>
    <t xml:space="preserve">Saldo decreciente variable: años 0 a 2</t>
  </si>
  <si>
    <t xml:space="preserve">DVS</t>
  </si>
  <si>
    <t xml:space="preserve">VDB</t>
  </si>
  <si>
    <t xml:space="preserve">=DVS(120000000;20000000;5;0;2)</t>
  </si>
  <si>
    <t xml:space="preserve">Suma varios periodos y puede pasar a línea recta.</t>
  </si>
  <si>
    <t xml:space="preserve">Amortización lineal por periodo contable (periodo 0, prorrateado)</t>
  </si>
  <si>
    <t xml:space="preserve">AMORTIZ.LIN</t>
  </si>
  <si>
    <t xml:space="preserve">AMORLINC</t>
  </si>
  <si>
    <t xml:space="preserve">=AMORTIZ.LIN(120000000;fecha compra;fin periodo;20000000;0;20%;1)</t>
  </si>
  <si>
    <t xml:space="preserve">Sistema contable francés; prorratea el primer periodo.</t>
  </si>
  <si>
    <t xml:space="preserve">Amortización con coeficiente (periodo 1)</t>
  </si>
  <si>
    <t xml:space="preserve">AMORTIZ.PROGRE</t>
  </si>
  <si>
    <t xml:space="preserve">AMORDEGRC</t>
  </si>
  <si>
    <t xml:space="preserve">=AMORTIZ.PROGRE(120000000;fecha compra;fin periodo;20000000;1;20%;1)</t>
  </si>
  <si>
    <t xml:space="preserve">Sistema contable francés; poco usado en Colombia.</t>
  </si>
  <si>
    <t xml:space="preserve">5 · Títulos de renta fija</t>
  </si>
  <si>
    <t xml:space="preserve">Bono ficticio: cupón 9 % anual, valor de 100, liquidación 15/10/2026, vencimiento 15/10/2031, base 1 (días reales). Título descontado de 180 días.</t>
  </si>
  <si>
    <t xml:space="preserve">Liquidación (compra)</t>
  </si>
  <si>
    <t xml:space="preserve">Vencimiento</t>
  </si>
  <si>
    <t xml:space="preserve">Tasa de cupón</t>
  </si>
  <si>
    <t xml:space="preserve">Rendimiento exigido</t>
  </si>
  <si>
    <t xml:space="preserve">Precio de mercado (por 100)</t>
  </si>
  <si>
    <t xml:space="preserve">Pagos de cupón por año</t>
  </si>
  <si>
    <t xml:space="preserve">Base (1 = días reales)</t>
  </si>
  <si>
    <t xml:space="preserve">Emisión (para intereses acumulados)</t>
  </si>
  <si>
    <t xml:space="preserve">Vencimiento del título descontado</t>
  </si>
  <si>
    <t xml:space="preserve">Precio del título descontado</t>
  </si>
  <si>
    <t xml:space="preserve">Base del descontado (2 = real/360)</t>
  </si>
  <si>
    <t xml:space="preserve">Precio del bono si el mercado exige 10,5 %</t>
  </si>
  <si>
    <t xml:space="preserve">PRECIO</t>
  </si>
  <si>
    <t xml:space="preserve">PRICE</t>
  </si>
  <si>
    <t xml:space="preserve">=PRECIO(liq;venc;9%;10,5%;100;1;1)</t>
  </si>
  <si>
    <t xml:space="preserve">Cotiza bajo la par porque el cupón es menor que el rendimiento.</t>
  </si>
  <si>
    <t xml:space="preserve">Rendimiento si se compra a 95</t>
  </si>
  <si>
    <t xml:space="preserve">RENDTO</t>
  </si>
  <si>
    <t xml:space="preserve">YIELD</t>
  </si>
  <si>
    <t xml:space="preserve">=RENDTO(liq;venc;9%;95;100;1;1)</t>
  </si>
  <si>
    <t xml:space="preserve">Tasa interna del bono.</t>
  </si>
  <si>
    <t xml:space="preserve">Duración de Macaulay (años)</t>
  </si>
  <si>
    <t xml:space="preserve">DURACION</t>
  </si>
  <si>
    <t xml:space="preserve">DURATION</t>
  </si>
  <si>
    <t xml:space="preserve">=DURACION(liq;venc;9%;10,5%;1;1)</t>
  </si>
  <si>
    <t xml:space="preserve">Plazo promedio ponderado de los flujos.</t>
  </si>
  <si>
    <t xml:space="preserve">Duración modificada</t>
  </si>
  <si>
    <t xml:space="preserve">DURACION.MODIF</t>
  </si>
  <si>
    <t xml:space="preserve">MDURATION</t>
  </si>
  <si>
    <t xml:space="preserve">=DURACION.MODIF(liq;venc;9%;10,5%;1;1)</t>
  </si>
  <si>
    <t xml:space="preserve">Si la tasa sube 1 punto, el precio cae cerca de este porcentaje.</t>
  </si>
  <si>
    <t xml:space="preserve">Bono emitido el 15/04/2026 con primer cupón el 15/04/2027: intereses acumulados a la liquidación (por 100)</t>
  </si>
  <si>
    <t xml:space="preserve">INT.ACUM</t>
  </si>
  <si>
    <t xml:space="preserve">ACCRINT</t>
  </si>
  <si>
    <t xml:space="preserve">=INT.ACUM(emisión;primer cupón;liq;9%;100;1;1)</t>
  </si>
  <si>
    <t xml:space="preserve">Lo que el comprador reconoce al vendedor por el cupón corrido.</t>
  </si>
  <si>
    <t xml:space="preserve">Número de cupones pendientes</t>
  </si>
  <si>
    <t xml:space="preserve">CUPON.NUM</t>
  </si>
  <si>
    <t xml:space="preserve">COUPNUM</t>
  </si>
  <si>
    <t xml:space="preserve">=CUPON.NUM(liq;venc;1;1)</t>
  </si>
  <si>
    <t xml:space="preserve">Familia CUPON.*: fechas y días de los cupones.</t>
  </si>
  <si>
    <t xml:space="preserve">Fecha del próximo cupón</t>
  </si>
  <si>
    <t xml:space="preserve">CUPON.FECHA.L2</t>
  </si>
  <si>
    <t xml:space="preserve">COUPNCD</t>
  </si>
  <si>
    <t xml:space="preserve">=CUPON.FECHA.L2(liq;venc;1;1)</t>
  </si>
  <si>
    <t xml:space="preserve">Tasa de descuento del título de 180 días</t>
  </si>
  <si>
    <t xml:space="preserve">TASA.DESC</t>
  </si>
  <si>
    <t xml:space="preserve">DISC</t>
  </si>
  <si>
    <t xml:space="preserve">=TASA.DESC(liq;venc;95,5;100;2)</t>
  </si>
  <si>
    <t xml:space="preserve">Descuento sobre el valor nominal, base 360.</t>
  </si>
  <si>
    <t xml:space="preserve">Rendimiento del título descontado</t>
  </si>
  <si>
    <t xml:space="preserve">RENDTO.DESC</t>
  </si>
  <si>
    <t xml:space="preserve">YIELDDISC</t>
  </si>
  <si>
    <t xml:space="preserve">=RENDTO.DESC(liq;venc;95,5;100;2)</t>
  </si>
  <si>
    <t xml:space="preserve">Rendimiento simple sobre lo invertido (mayor que la tasa de descuento).</t>
  </si>
  <si>
    <t xml:space="preserve">Precio con una tasa de descuento de 9 %</t>
  </si>
  <si>
    <t xml:space="preserve">PRECIO.DESCUENTO</t>
  </si>
  <si>
    <t xml:space="preserve">PRICEDISC</t>
  </si>
  <si>
    <t xml:space="preserve">=PRECIO.DESCUENTO(liq;venc;9%;100;2)</t>
  </si>
  <si>
    <t xml:space="preserve">Tasa de interés si se invierten 95,5 y se reciben 100</t>
  </si>
  <si>
    <t xml:space="preserve">TASA.INT</t>
  </si>
  <si>
    <t xml:space="preserve">INTRATE</t>
  </si>
  <si>
    <t xml:space="preserve">=TASA.INT(liq;venc;95,5;100;2)</t>
  </si>
  <si>
    <t xml:space="preserve">Igual al rendimiento simple del título.</t>
  </si>
  <si>
    <t xml:space="preserve">Valor recibido al vencimiento si se invierten 95,5 al 9 % de descuento</t>
  </si>
  <si>
    <t xml:space="preserve">CANTIDAD.RECIBIDA</t>
  </si>
  <si>
    <t xml:space="preserve">RECEIVED</t>
  </si>
  <si>
    <t xml:space="preserve">=CANTIDAD.RECIBIDA(liq;venc;95,5;9%;2)</t>
  </si>
  <si>
    <t xml:space="preserve">6 · Otras funciones</t>
  </si>
  <si>
    <t xml:space="preserve">Funciones de uso especializado. Se incluyen para completar el inventario.</t>
  </si>
  <si>
    <t xml:space="preserve">Liquidación</t>
  </si>
  <si>
    <t xml:space="preserve">Vencimiento de la letra</t>
  </si>
  <si>
    <t xml:space="preserve">Tasa de descuento de la letra</t>
  </si>
  <si>
    <t xml:space="preserve">Precio de una letra del Tesoro (por 100)</t>
  </si>
  <si>
    <t xml:space="preserve">LETRA.DE.TES.PRECIO</t>
  </si>
  <si>
    <t xml:space="preserve">TBILLPRICE</t>
  </si>
  <si>
    <t xml:space="preserve">=LETRA.DE.TES.PRECIO(liq;venc;9%)</t>
  </si>
  <si>
    <t xml:space="preserve">Diseñada para letras del Tesoro de EE. UU. (base 360).</t>
  </si>
  <si>
    <t xml:space="preserve">Rendimiento de la letra a precio 95,5</t>
  </si>
  <si>
    <t xml:space="preserve">LETRA.DE.TES.RENDTO</t>
  </si>
  <si>
    <t xml:space="preserve">TBILLYIELD</t>
  </si>
  <si>
    <t xml:space="preserve">=LETRA.DE.TES.RENDTO(liq;venc;95,5)</t>
  </si>
  <si>
    <t xml:space="preserve">Rendimiento equivalente a bono</t>
  </si>
  <si>
    <t xml:space="preserve">LETRA.DE.TES.EQV.A.BONO</t>
  </si>
  <si>
    <t xml:space="preserve">TBILLEQ</t>
  </si>
  <si>
    <t xml:space="preserve">=LETRA.DE.TES.EQV.A.BONO(liq;venc;9%)</t>
  </si>
  <si>
    <t xml:space="preserve">Precio 101 1/32 en decimal</t>
  </si>
  <si>
    <t xml:space="preserve">MONEDA.DEC</t>
  </si>
  <si>
    <t xml:space="preserve">DOLLARDE</t>
  </si>
  <si>
    <t xml:space="preserve">=MONEDA.DEC(101,01;32)</t>
  </si>
  <si>
    <t xml:space="preserve">Cotizaciones en fracciones (mercado de EE. UU.).</t>
  </si>
  <si>
    <t xml:space="preserve">101,03125 expresado en treintaidosavos</t>
  </si>
  <si>
    <t xml:space="preserve">MONEDA.FRAC</t>
  </si>
  <si>
    <t xml:space="preserve">DOLLARFR</t>
  </si>
  <si>
    <t xml:space="preserve">=MONEDA.FRAC(101,03125;32)</t>
  </si>
  <si>
    <t xml:space="preserve">Sin ejemplo en este libro (períodos irregulares de bonos): PRECIO.PER.IRREGULAR.1, RENDTO.PER.IRREGULAR.1, PRECIO.PER.IRREGULAR.2, RENDTO.PER.IRREGULAR.2, PRECIO.VENCIMIENTO, RENDTO.VENCTO, INT.ACUM.V, CUPON.DIAS, CUPON.DIAS.L1, CUPON.DIAS.L2, CUPON.FECHA.L1. Ver la guía.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</si>
</sst>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0.0000%"/>
    <numFmt numFmtId="166" formatCode="\$#,##0;[RED]&quot;-$&quot;#,##0"/>
    <numFmt numFmtId="167" formatCode="0"/>
    <numFmt numFmtId="168" formatCode="\$#,##0.00;[RED]&quot;-$&quot;#,##0.00"/>
    <numFmt numFmtId="169" formatCode="0.00"/>
    <numFmt numFmtId="170" formatCode="#,##0"/>
    <numFmt numFmtId="171" formatCode="dd/mm/yyyy"/>
    <numFmt numFmtId="172" formatCode="#,##0.00"/>
    <numFmt numFmtId="173" formatCode="0%"/>
    <numFmt numFmtId="174" formatCode="0.00%"/>
    <numFmt numFmtId="175" formatCode="0.0000"/>
    <numFmt numFmtId="176" formatCode="0.000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0563C1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1F3864"/>
      <name val="Arial"/>
      <family val="0"/>
      <charset val="1"/>
    </font>
    <font>
      <b val="true"/>
      <sz val="11"/>
      <color rgb="FFC55A11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BE5D6"/>
      </patternFill>
    </fill>
    <fill>
      <patternFill patternType="solid">
        <fgColor rgb="FF1F3864"/>
        <bgColor rgb="FF333333"/>
      </patternFill>
    </fill>
    <fill>
      <patternFill patternType="solid">
        <fgColor rgb="FFFBE5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3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13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0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1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2" fontId="13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3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4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11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5" fontId="13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3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1" fontId="13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6" fontId="13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C55A11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Funciones_Financieras_Excel.xlsx" TargetMode="External"/><Relationship Id="rId2" Type="http://schemas.openxmlformats.org/officeDocument/2006/relationships/hyperlink" Target="Funciones_Financieras_Excel.xlsx" TargetMode="External"/><Relationship Id="rId3" Type="http://schemas.openxmlformats.org/officeDocument/2006/relationships/hyperlink" Target="Funciones_Financieras_Excel.xlsx" TargetMode="External"/><Relationship Id="rId4" Type="http://schemas.openxmlformats.org/officeDocument/2006/relationships/hyperlink" Target="Funciones_Financieras_Excel.xlsx" TargetMode="External"/><Relationship Id="rId5" Type="http://schemas.openxmlformats.org/officeDocument/2006/relationships/hyperlink" Target="Funciones_Financieras_Excel.xlsx" TargetMode="External"/><Relationship Id="rId6" Type="http://schemas.openxmlformats.org/officeDocument/2006/relationships/hyperlink" Target="Funciones_Financieras_Excel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3" t="s">
        <v>3</v>
      </c>
      <c r="B5" s="4" t="s">
        <v>4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 t="s">
        <v>13</v>
      </c>
      <c r="B10" s="4" t="s">
        <v>14</v>
      </c>
    </row>
  </sheetData>
  <hyperlinks>
    <hyperlink ref="A5" r:id="rId1" location="'1_Tiempo_y_tasas'!A1" display="1_Tiempo_y_tasas"/>
    <hyperlink ref="A6" r:id="rId2" location="'2_Amortizacion'!A1" display="2_Amortizacion"/>
    <hyperlink ref="A7" r:id="rId3" location="'3_Inversiones'!A1" display="3_Inversiones"/>
    <hyperlink ref="A8" r:id="rId4" location="'4_Depreciacion'!A1" display="4_Depreciacion"/>
    <hyperlink ref="A9" r:id="rId5" location="'5_Renta_fija'!A1" display="5_Renta_fija"/>
    <hyperlink ref="A10" r:id="rId6" location="'6_Otras'!A1" display="6_Otra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46"/>
    <col collapsed="false" customWidth="true" hidden="false" outlineLevel="0" max="7" min="7" style="0" width="44"/>
  </cols>
  <sheetData>
    <row r="1" customFormat="false" ht="16.15" hidden="false" customHeight="false" outlineLevel="0" collapsed="false">
      <c r="A1" s="5" t="s">
        <v>15</v>
      </c>
    </row>
    <row r="2" customFormat="false" ht="15" hidden="false" customHeight="false" outlineLevel="0" collapsed="false">
      <c r="A2" s="2" t="s">
        <v>16</v>
      </c>
    </row>
    <row r="4" customFormat="false" ht="15" hidden="false" customHeight="false" outlineLevel="0" collapsed="false">
      <c r="A4" s="6" t="s">
        <v>17</v>
      </c>
    </row>
    <row r="5" customFormat="false" ht="15" hidden="false" customHeight="false" outlineLevel="0" collapsed="false">
      <c r="A5" s="7" t="s">
        <v>18</v>
      </c>
      <c r="B5" s="8" t="n">
        <f aca="false">(1+13%)^(1/12)-1</f>
        <v>0.0102368443581764</v>
      </c>
    </row>
    <row r="6" customFormat="false" ht="15" hidden="false" customHeight="false" outlineLevel="0" collapsed="false">
      <c r="A6" s="7" t="s">
        <v>19</v>
      </c>
      <c r="B6" s="9" t="n">
        <v>180000000</v>
      </c>
    </row>
    <row r="7" customFormat="false" ht="15" hidden="false" customHeight="false" outlineLevel="0" collapsed="false">
      <c r="A7" s="7" t="s">
        <v>20</v>
      </c>
      <c r="B7" s="10" t="n">
        <v>180</v>
      </c>
    </row>
    <row r="8" customFormat="false" ht="15" hidden="false" customHeight="false" outlineLevel="0" collapsed="false">
      <c r="A8" s="7" t="s">
        <v>21</v>
      </c>
      <c r="B8" s="9" t="n">
        <v>4500000</v>
      </c>
    </row>
    <row r="9" customFormat="false" ht="15" hidden="false" customHeight="false" outlineLevel="0" collapsed="false">
      <c r="A9" s="7" t="s">
        <v>22</v>
      </c>
      <c r="B9" s="8" t="n">
        <v>0.012</v>
      </c>
    </row>
    <row r="10" customFormat="false" ht="15" hidden="false" customHeight="false" outlineLevel="0" collapsed="false">
      <c r="A10" s="7" t="s">
        <v>23</v>
      </c>
      <c r="B10" s="9" t="n">
        <v>3000000</v>
      </c>
    </row>
    <row r="11" customFormat="false" ht="15" hidden="false" customHeight="false" outlineLevel="0" collapsed="false">
      <c r="A11" s="7" t="s">
        <v>24</v>
      </c>
      <c r="B11" s="8" t="n">
        <v>0.009</v>
      </c>
    </row>
    <row r="13" customFormat="false" ht="27.75" hidden="false" customHeight="true" outlineLevel="0" collapsed="false">
      <c r="A13" s="11" t="s">
        <v>25</v>
      </c>
      <c r="B13" s="11" t="s">
        <v>26</v>
      </c>
      <c r="C13" s="11"/>
      <c r="D13" s="11" t="s">
        <v>27</v>
      </c>
      <c r="E13" s="11" t="s">
        <v>28</v>
      </c>
      <c r="F13" s="11" t="s">
        <v>29</v>
      </c>
      <c r="G13" s="11" t="s">
        <v>30</v>
      </c>
    </row>
    <row r="14" customFormat="false" ht="42" hidden="false" customHeight="true" outlineLevel="0" collapsed="false">
      <c r="A14" s="12" t="s">
        <v>31</v>
      </c>
      <c r="B14" s="13" t="n">
        <f aca="false">PMT($B$5,$B$7,-$B$6)</f>
        <v>2193324.25038428</v>
      </c>
      <c r="D14" s="14" t="s">
        <v>32</v>
      </c>
      <c r="E14" s="7" t="s">
        <v>33</v>
      </c>
      <c r="F14" s="12" t="s">
        <v>34</v>
      </c>
      <c r="G14" s="12" t="s">
        <v>35</v>
      </c>
    </row>
    <row r="15" customFormat="false" ht="42" hidden="false" customHeight="true" outlineLevel="0" collapsed="false">
      <c r="A15" s="12" t="s">
        <v>36</v>
      </c>
      <c r="B15" s="13" t="n">
        <f aca="false">PV($B$9,12,-$B$8,0,1)</f>
        <v>50613815.7274663</v>
      </c>
      <c r="D15" s="14" t="s">
        <v>37</v>
      </c>
      <c r="E15" s="7" t="s">
        <v>38</v>
      </c>
      <c r="F15" s="12" t="s">
        <v>39</v>
      </c>
      <c r="G15" s="12" t="s">
        <v>40</v>
      </c>
    </row>
    <row r="16" customFormat="false" ht="42" hidden="false" customHeight="true" outlineLevel="0" collapsed="false">
      <c r="A16" s="12" t="s">
        <v>41</v>
      </c>
      <c r="B16" s="13" t="n">
        <f aca="false">FV($B$11,24,-$B$10)</f>
        <v>79967932.0740345</v>
      </c>
      <c r="D16" s="14" t="s">
        <v>42</v>
      </c>
      <c r="E16" s="7" t="s">
        <v>43</v>
      </c>
      <c r="F16" s="12" t="s">
        <v>44</v>
      </c>
      <c r="G16" s="12" t="s">
        <v>45</v>
      </c>
    </row>
    <row r="17" customFormat="false" ht="42" hidden="false" customHeight="true" outlineLevel="0" collapsed="false">
      <c r="A17" s="12" t="s">
        <v>46</v>
      </c>
      <c r="B17" s="15" t="n">
        <f aca="false">NPER(1.5%,-2000000,50000000)</f>
        <v>31.5679939580008</v>
      </c>
      <c r="D17" s="14" t="s">
        <v>47</v>
      </c>
      <c r="E17" s="7" t="s">
        <v>47</v>
      </c>
      <c r="F17" s="12" t="s">
        <v>48</v>
      </c>
      <c r="G17" s="12" t="s">
        <v>49</v>
      </c>
    </row>
    <row r="18" customFormat="false" ht="42" hidden="false" customHeight="true" outlineLevel="0" collapsed="false">
      <c r="A18" s="12" t="s">
        <v>50</v>
      </c>
      <c r="B18" s="16" t="n">
        <f aca="false">RATE(36,-2000000,50000000)</f>
        <v>0.02121114161818</v>
      </c>
      <c r="D18" s="14" t="s">
        <v>51</v>
      </c>
      <c r="E18" s="7" t="s">
        <v>52</v>
      </c>
      <c r="F18" s="12" t="s">
        <v>53</v>
      </c>
      <c r="G18" s="12" t="s">
        <v>54</v>
      </c>
    </row>
    <row r="19" customFormat="false" ht="42" hidden="false" customHeight="true" outlineLevel="0" collapsed="false">
      <c r="A19" s="12" t="s">
        <v>55</v>
      </c>
      <c r="B19" s="16" t="n">
        <f aca="false">EFFECT(24%,12)</f>
        <v>0.268241794562546</v>
      </c>
      <c r="D19" s="14" t="s">
        <v>56</v>
      </c>
      <c r="E19" s="7" t="s">
        <v>57</v>
      </c>
      <c r="F19" s="12" t="s">
        <v>58</v>
      </c>
      <c r="G19" s="12" t="s">
        <v>59</v>
      </c>
    </row>
    <row r="20" customFormat="false" ht="42" hidden="false" customHeight="true" outlineLevel="0" collapsed="false">
      <c r="A20" s="12" t="s">
        <v>60</v>
      </c>
      <c r="B20" s="16" t="n">
        <f aca="false">NOMINAL(EFFECT(24%,12),12)</f>
        <v>0.24</v>
      </c>
      <c r="D20" s="14" t="s">
        <v>61</v>
      </c>
      <c r="E20" s="7" t="s">
        <v>62</v>
      </c>
      <c r="F20" s="12" t="s">
        <v>63</v>
      </c>
      <c r="G20" s="12" t="s">
        <v>64</v>
      </c>
    </row>
    <row r="21" customFormat="false" ht="42" hidden="false" customHeight="true" outlineLevel="0" collapsed="false">
      <c r="A21" s="12" t="s">
        <v>65</v>
      </c>
      <c r="B21" s="13" t="n">
        <f aca="false">FVSCHEDULE(10000000,{0.09,0.105,0.11})</f>
        <v>13369395</v>
      </c>
      <c r="D21" s="14" t="s">
        <v>66</v>
      </c>
      <c r="E21" s="7" t="s">
        <v>67</v>
      </c>
      <c r="F21" s="12" t="s">
        <v>68</v>
      </c>
      <c r="G21" s="12" t="s">
        <v>69</v>
      </c>
    </row>
    <row r="22" customFormat="false" ht="42" hidden="false" customHeight="true" outlineLevel="0" collapsed="false">
      <c r="A22" s="12" t="s">
        <v>70</v>
      </c>
      <c r="B22" s="15" t="n">
        <f aca="false">_xlfn.PDURATION(1%,10000000,15000000)</f>
        <v>40.7489071560941</v>
      </c>
      <c r="D22" s="14" t="s">
        <v>71</v>
      </c>
      <c r="E22" s="7" t="s">
        <v>72</v>
      </c>
      <c r="F22" s="12" t="s">
        <v>73</v>
      </c>
      <c r="G22" s="12" t="s">
        <v>74</v>
      </c>
    </row>
    <row r="23" customFormat="false" ht="42" hidden="false" customHeight="true" outlineLevel="0" collapsed="false">
      <c r="A23" s="12" t="s">
        <v>75</v>
      </c>
      <c r="B23" s="16" t="n">
        <f aca="false">_xlfn.RRI(5,100,150)</f>
        <v>0.0844717711976986</v>
      </c>
      <c r="D23" s="14" t="s">
        <v>76</v>
      </c>
      <c r="E23" s="7" t="s">
        <v>76</v>
      </c>
      <c r="F23" s="12" t="s">
        <v>77</v>
      </c>
      <c r="G23" s="12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46"/>
    <col collapsed="false" customWidth="true" hidden="false" outlineLevel="0" max="7" min="7" style="0" width="44"/>
  </cols>
  <sheetData>
    <row r="1" customFormat="false" ht="16.15" hidden="false" customHeight="false" outlineLevel="0" collapsed="false">
      <c r="A1" s="5" t="s">
        <v>79</v>
      </c>
    </row>
    <row r="2" customFormat="false" ht="15" hidden="false" customHeight="false" outlineLevel="0" collapsed="false">
      <c r="A2" s="2" t="s">
        <v>80</v>
      </c>
    </row>
    <row r="4" customFormat="false" ht="15" hidden="false" customHeight="false" outlineLevel="0" collapsed="false">
      <c r="A4" s="6" t="s">
        <v>17</v>
      </c>
    </row>
    <row r="5" customFormat="false" ht="15" hidden="false" customHeight="false" outlineLevel="0" collapsed="false">
      <c r="A5" s="7" t="s">
        <v>81</v>
      </c>
      <c r="B5" s="8" t="n">
        <f aca="false">(1+13%)^(1/12)-1</f>
        <v>0.0102368443581764</v>
      </c>
    </row>
    <row r="6" customFormat="false" ht="15" hidden="false" customHeight="false" outlineLevel="0" collapsed="false">
      <c r="A6" s="7" t="s">
        <v>82</v>
      </c>
      <c r="B6" s="9" t="n">
        <v>180000000</v>
      </c>
    </row>
    <row r="7" customFormat="false" ht="15" hidden="false" customHeight="false" outlineLevel="0" collapsed="false">
      <c r="A7" s="7" t="s">
        <v>20</v>
      </c>
      <c r="B7" s="10" t="n">
        <v>180</v>
      </c>
    </row>
    <row r="9" customFormat="false" ht="27.75" hidden="false" customHeight="true" outlineLevel="0" collapsed="false">
      <c r="A9" s="11" t="s">
        <v>25</v>
      </c>
      <c r="B9" s="11" t="s">
        <v>26</v>
      </c>
      <c r="C9" s="11"/>
      <c r="D9" s="11" t="s">
        <v>27</v>
      </c>
      <c r="E9" s="11" t="s">
        <v>28</v>
      </c>
      <c r="F9" s="11" t="s">
        <v>29</v>
      </c>
      <c r="G9" s="11" t="s">
        <v>30</v>
      </c>
    </row>
    <row r="10" customFormat="false" ht="42" hidden="false" customHeight="true" outlineLevel="0" collapsed="false">
      <c r="A10" s="12" t="s">
        <v>83</v>
      </c>
      <c r="B10" s="13" t="n">
        <f aca="false">IPMT($B$5,1,$B$7,-$B$6)</f>
        <v>1842631.98447175</v>
      </c>
      <c r="D10" s="14" t="s">
        <v>84</v>
      </c>
      <c r="E10" s="7" t="s">
        <v>85</v>
      </c>
      <c r="F10" s="12" t="s">
        <v>86</v>
      </c>
      <c r="G10" s="12" t="s">
        <v>87</v>
      </c>
    </row>
    <row r="11" customFormat="false" ht="42" hidden="false" customHeight="true" outlineLevel="0" collapsed="false">
      <c r="A11" s="12" t="s">
        <v>88</v>
      </c>
      <c r="B11" s="13" t="n">
        <f aca="false">PPMT($B$5,1,$B$7,-$B$6)</f>
        <v>350692.265912528</v>
      </c>
      <c r="D11" s="14" t="s">
        <v>89</v>
      </c>
      <c r="E11" s="7" t="s">
        <v>90</v>
      </c>
      <c r="F11" s="12" t="s">
        <v>91</v>
      </c>
      <c r="G11" s="12" t="s">
        <v>92</v>
      </c>
    </row>
    <row r="12" customFormat="false" ht="42" hidden="false" customHeight="true" outlineLevel="0" collapsed="false">
      <c r="A12" s="12" t="s">
        <v>93</v>
      </c>
      <c r="B12" s="13" t="n">
        <f aca="false">-CUMIPMT($B$5,$B$7,$B$6,1,12,0)</f>
        <v>21866370.6644086</v>
      </c>
      <c r="D12" s="14" t="s">
        <v>94</v>
      </c>
      <c r="E12" s="7" t="s">
        <v>95</v>
      </c>
      <c r="F12" s="12" t="s">
        <v>96</v>
      </c>
      <c r="G12" s="12" t="s">
        <v>97</v>
      </c>
    </row>
    <row r="13" customFormat="false" ht="42" hidden="false" customHeight="true" outlineLevel="0" collapsed="false">
      <c r="A13" s="12" t="s">
        <v>98</v>
      </c>
      <c r="B13" s="13" t="n">
        <f aca="false">-CUMPRINC($B$5,$B$7,$B$6,1,60,0)</f>
        <v>28860016.9716534</v>
      </c>
      <c r="D13" s="14" t="s">
        <v>99</v>
      </c>
      <c r="E13" s="7" t="s">
        <v>100</v>
      </c>
      <c r="F13" s="12" t="s">
        <v>101</v>
      </c>
      <c r="G13" s="12" t="s">
        <v>102</v>
      </c>
    </row>
    <row r="14" customFormat="false" ht="42" hidden="false" customHeight="true" outlineLevel="0" collapsed="false">
      <c r="A14" s="12" t="s">
        <v>103</v>
      </c>
      <c r="B14" s="13" t="n">
        <f aca="false">$B$6-B13</f>
        <v>151139983.028347</v>
      </c>
      <c r="D14" s="14" t="s">
        <v>104</v>
      </c>
      <c r="E14" s="7"/>
      <c r="F14" s="12" t="s">
        <v>105</v>
      </c>
      <c r="G14" s="12" t="s">
        <v>106</v>
      </c>
    </row>
    <row r="15" customFormat="false" ht="42" hidden="false" customHeight="true" outlineLevel="0" collapsed="false">
      <c r="A15" s="12" t="s">
        <v>107</v>
      </c>
      <c r="B15" s="13" t="n">
        <f aca="false">PV($B$5,$B$7-60,-PMT($B$5,$B$7,-$B$6))</f>
        <v>151139983.028347</v>
      </c>
      <c r="D15" s="14" t="s">
        <v>37</v>
      </c>
      <c r="E15" s="7" t="s">
        <v>38</v>
      </c>
      <c r="F15" s="12" t="s">
        <v>108</v>
      </c>
      <c r="G15" s="12" t="s">
        <v>109</v>
      </c>
    </row>
    <row r="16" customFormat="false" ht="42" hidden="false" customHeight="true" outlineLevel="0" collapsed="false">
      <c r="A16" s="12" t="s">
        <v>110</v>
      </c>
      <c r="B16" s="13" t="n">
        <f aca="false">-ISPMT($B$5,0,$B$7,$B$6)</f>
        <v>1842631.98447175</v>
      </c>
      <c r="D16" s="14" t="s">
        <v>111</v>
      </c>
      <c r="E16" s="7" t="s">
        <v>112</v>
      </c>
      <c r="F16" s="12" t="s">
        <v>113</v>
      </c>
      <c r="G16" s="12" t="s">
        <v>114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46"/>
    <col collapsed="false" customWidth="true" hidden="false" outlineLevel="0" max="7" min="7" style="0" width="44"/>
  </cols>
  <sheetData>
    <row r="1" customFormat="false" ht="16.15" hidden="false" customHeight="false" outlineLevel="0" collapsed="false">
      <c r="A1" s="5" t="s">
        <v>115</v>
      </c>
    </row>
    <row r="2" customFormat="false" ht="15" hidden="false" customHeight="false" outlineLevel="0" collapsed="false">
      <c r="A2" s="2" t="s">
        <v>116</v>
      </c>
    </row>
    <row r="4" customFormat="false" ht="15" hidden="false" customHeight="false" outlineLevel="0" collapsed="false">
      <c r="A4" s="6" t="s">
        <v>117</v>
      </c>
    </row>
    <row r="5" customFormat="false" ht="15" hidden="false" customHeight="false" outlineLevel="0" collapsed="false">
      <c r="A5" s="11" t="s">
        <v>118</v>
      </c>
      <c r="B5" s="11" t="s">
        <v>119</v>
      </c>
      <c r="C5" s="11"/>
      <c r="D5" s="11" t="s">
        <v>120</v>
      </c>
      <c r="E5" s="11" t="s">
        <v>121</v>
      </c>
      <c r="F5" s="11" t="s">
        <v>122</v>
      </c>
    </row>
    <row r="6" customFormat="false" ht="15" hidden="false" customHeight="false" outlineLevel="0" collapsed="false">
      <c r="A6" s="17" t="n">
        <v>0</v>
      </c>
      <c r="B6" s="18" t="n">
        <v>-120</v>
      </c>
      <c r="D6" s="18" t="n">
        <v>-260</v>
      </c>
      <c r="E6" s="19" t="n">
        <v>46037</v>
      </c>
      <c r="F6" s="18" t="n">
        <v>-120</v>
      </c>
    </row>
    <row r="7" customFormat="false" ht="15" hidden="false" customHeight="false" outlineLevel="0" collapsed="false">
      <c r="A7" s="17" t="n">
        <v>1</v>
      </c>
      <c r="B7" s="18" t="n">
        <v>40</v>
      </c>
      <c r="D7" s="18" t="n">
        <v>82</v>
      </c>
      <c r="E7" s="19" t="n">
        <v>46295</v>
      </c>
      <c r="F7" s="18" t="n">
        <v>30</v>
      </c>
    </row>
    <row r="8" customFormat="false" ht="15" hidden="false" customHeight="false" outlineLevel="0" collapsed="false">
      <c r="A8" s="17" t="n">
        <v>2</v>
      </c>
      <c r="B8" s="18" t="n">
        <v>40</v>
      </c>
      <c r="D8" s="18" t="n">
        <v>82</v>
      </c>
      <c r="E8" s="19" t="n">
        <v>46568</v>
      </c>
      <c r="F8" s="18" t="n">
        <v>35</v>
      </c>
    </row>
    <row r="9" customFormat="false" ht="15" hidden="false" customHeight="false" outlineLevel="0" collapsed="false">
      <c r="A9" s="17" t="n">
        <v>3</v>
      </c>
      <c r="B9" s="18" t="n">
        <v>40</v>
      </c>
      <c r="D9" s="18" t="n">
        <v>82</v>
      </c>
      <c r="E9" s="19" t="n">
        <v>46843</v>
      </c>
      <c r="F9" s="18" t="n">
        <v>40</v>
      </c>
    </row>
    <row r="10" customFormat="false" ht="15" hidden="false" customHeight="false" outlineLevel="0" collapsed="false">
      <c r="A10" s="17" t="n">
        <v>4</v>
      </c>
      <c r="B10" s="18" t="n">
        <v>40</v>
      </c>
      <c r="D10" s="18" t="n">
        <v>82</v>
      </c>
      <c r="E10" s="19" t="n">
        <v>47118</v>
      </c>
      <c r="F10" s="18" t="n">
        <v>45</v>
      </c>
    </row>
    <row r="11" customFormat="false" ht="15" hidden="false" customHeight="false" outlineLevel="0" collapsed="false">
      <c r="A11" s="17" t="n">
        <v>5</v>
      </c>
      <c r="B11" s="18" t="n">
        <v>50</v>
      </c>
      <c r="D11" s="18" t="n">
        <v>112</v>
      </c>
      <c r="E11" s="19" t="n">
        <v>47483</v>
      </c>
      <c r="F11" s="18" t="n">
        <v>50</v>
      </c>
    </row>
    <row r="13" customFormat="false" ht="15" hidden="false" customHeight="false" outlineLevel="0" collapsed="false">
      <c r="A13" s="7" t="s">
        <v>123</v>
      </c>
      <c r="B13" s="8" t="n">
        <v>0.14</v>
      </c>
    </row>
    <row r="14" customFormat="false" ht="15" hidden="false" customHeight="false" outlineLevel="0" collapsed="false">
      <c r="A14" s="7" t="s">
        <v>124</v>
      </c>
      <c r="B14" s="8" t="n">
        <v>0.12</v>
      </c>
    </row>
    <row r="16" customFormat="false" ht="27.75" hidden="false" customHeight="true" outlineLevel="0" collapsed="false">
      <c r="A16" s="11" t="s">
        <v>25</v>
      </c>
      <c r="B16" s="11" t="s">
        <v>26</v>
      </c>
      <c r="C16" s="11"/>
      <c r="D16" s="11" t="s">
        <v>27</v>
      </c>
      <c r="E16" s="11" t="s">
        <v>28</v>
      </c>
      <c r="F16" s="11" t="s">
        <v>29</v>
      </c>
      <c r="G16" s="11" t="s">
        <v>30</v>
      </c>
    </row>
    <row r="17" customFormat="false" ht="42" hidden="false" customHeight="true" outlineLevel="0" collapsed="false">
      <c r="A17" s="12" t="s">
        <v>125</v>
      </c>
      <c r="B17" s="20" t="n">
        <f aca="false">NPV(B13,B7:B11)+B6</f>
        <v>22.5169253979365</v>
      </c>
      <c r="D17" s="14" t="s">
        <v>126</v>
      </c>
      <c r="E17" s="7" t="s">
        <v>127</v>
      </c>
      <c r="F17" s="12" t="s">
        <v>128</v>
      </c>
      <c r="G17" s="12" t="s">
        <v>129</v>
      </c>
    </row>
    <row r="18" customFormat="false" ht="42" hidden="false" customHeight="true" outlineLevel="0" collapsed="false">
      <c r="A18" s="12" t="s">
        <v>130</v>
      </c>
      <c r="B18" s="20" t="n">
        <f aca="false">NPV(B13,D7:D11)+D6</f>
        <v>37.0936993771882</v>
      </c>
      <c r="D18" s="14" t="s">
        <v>126</v>
      </c>
      <c r="E18" s="7" t="s">
        <v>127</v>
      </c>
      <c r="F18" s="12" t="s">
        <v>131</v>
      </c>
      <c r="G18" s="12" t="s">
        <v>132</v>
      </c>
    </row>
    <row r="19" customFormat="false" ht="42" hidden="false" customHeight="true" outlineLevel="0" collapsed="false">
      <c r="A19" s="12" t="s">
        <v>133</v>
      </c>
      <c r="B19" s="16" t="n">
        <f aca="false">IRR(B6:B11)</f>
        <v>0.213336867301104</v>
      </c>
      <c r="D19" s="14" t="s">
        <v>134</v>
      </c>
      <c r="E19" s="7" t="s">
        <v>135</v>
      </c>
      <c r="F19" s="12" t="s">
        <v>136</v>
      </c>
      <c r="G19" s="12" t="s">
        <v>137</v>
      </c>
    </row>
    <row r="20" customFormat="false" ht="42" hidden="false" customHeight="true" outlineLevel="0" collapsed="false">
      <c r="A20" s="12" t="s">
        <v>138</v>
      </c>
      <c r="B20" s="16" t="n">
        <f aca="false">IRR(D6:D11)</f>
        <v>0.195439021379052</v>
      </c>
      <c r="D20" s="14" t="s">
        <v>134</v>
      </c>
      <c r="E20" s="7" t="s">
        <v>135</v>
      </c>
      <c r="F20" s="12" t="s">
        <v>139</v>
      </c>
      <c r="G20" s="12" t="s">
        <v>140</v>
      </c>
    </row>
    <row r="21" customFormat="false" ht="42" hidden="false" customHeight="true" outlineLevel="0" collapsed="false">
      <c r="A21" s="12" t="s">
        <v>141</v>
      </c>
      <c r="B21" s="16" t="n">
        <f aca="false">MIRR(D6:D11,B13,B14)</f>
        <v>0.162050933699728</v>
      </c>
      <c r="D21" s="14" t="s">
        <v>142</v>
      </c>
      <c r="E21" s="7" t="s">
        <v>143</v>
      </c>
      <c r="F21" s="12" t="s">
        <v>144</v>
      </c>
      <c r="G21" s="12" t="s">
        <v>145</v>
      </c>
    </row>
    <row r="22" customFormat="false" ht="42" hidden="false" customHeight="true" outlineLevel="0" collapsed="false">
      <c r="A22" s="12" t="s">
        <v>146</v>
      </c>
      <c r="B22" s="20" t="n">
        <f aca="false">XNPV(B13,F6:F11,E6:E11)</f>
        <v>26.5021766526067</v>
      </c>
      <c r="D22" s="14" t="s">
        <v>147</v>
      </c>
      <c r="E22" s="7" t="s">
        <v>148</v>
      </c>
      <c r="F22" s="12" t="s">
        <v>149</v>
      </c>
      <c r="G22" s="12" t="s">
        <v>150</v>
      </c>
    </row>
    <row r="23" customFormat="false" ht="42" hidden="false" customHeight="true" outlineLevel="0" collapsed="false">
      <c r="A23" s="12" t="s">
        <v>151</v>
      </c>
      <c r="B23" s="16" t="n">
        <f aca="false">XIRR(F6:F11,E6:E11)</f>
        <v>0.24641744662959</v>
      </c>
      <c r="D23" s="14" t="s">
        <v>152</v>
      </c>
      <c r="E23" s="7" t="s">
        <v>153</v>
      </c>
      <c r="F23" s="12" t="s">
        <v>154</v>
      </c>
      <c r="G23" s="12" t="s">
        <v>155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46"/>
    <col collapsed="false" customWidth="true" hidden="false" outlineLevel="0" max="7" min="7" style="0" width="44"/>
  </cols>
  <sheetData>
    <row r="1" customFormat="false" ht="16.15" hidden="false" customHeight="false" outlineLevel="0" collapsed="false">
      <c r="A1" s="5" t="s">
        <v>156</v>
      </c>
    </row>
    <row r="2" customFormat="false" ht="15" hidden="false" customHeight="false" outlineLevel="0" collapsed="false">
      <c r="A2" s="2" t="s">
        <v>157</v>
      </c>
    </row>
    <row r="4" customFormat="false" ht="15" hidden="false" customHeight="false" outlineLevel="0" collapsed="false">
      <c r="A4" s="6" t="s">
        <v>17</v>
      </c>
    </row>
    <row r="5" customFormat="false" ht="15" hidden="false" customHeight="false" outlineLevel="0" collapsed="false">
      <c r="A5" s="7" t="s">
        <v>158</v>
      </c>
      <c r="B5" s="9" t="n">
        <v>120000000</v>
      </c>
    </row>
    <row r="6" customFormat="false" ht="15" hidden="false" customHeight="false" outlineLevel="0" collapsed="false">
      <c r="A6" s="7" t="s">
        <v>159</v>
      </c>
      <c r="B6" s="9" t="n">
        <v>20000000</v>
      </c>
    </row>
    <row r="7" customFormat="false" ht="15" hidden="false" customHeight="false" outlineLevel="0" collapsed="false">
      <c r="A7" s="7" t="s">
        <v>160</v>
      </c>
      <c r="B7" s="10" t="n">
        <v>5</v>
      </c>
    </row>
    <row r="8" customFormat="false" ht="15" hidden="false" customHeight="false" outlineLevel="0" collapsed="false">
      <c r="A8" s="7" t="s">
        <v>161</v>
      </c>
      <c r="B8" s="19" t="n">
        <v>46082</v>
      </c>
    </row>
    <row r="9" customFormat="false" ht="15" hidden="false" customHeight="false" outlineLevel="0" collapsed="false">
      <c r="A9" s="7" t="s">
        <v>162</v>
      </c>
      <c r="B9" s="19" t="n">
        <v>46387</v>
      </c>
    </row>
    <row r="10" customFormat="false" ht="15" hidden="false" customHeight="false" outlineLevel="0" collapsed="false">
      <c r="A10" s="7" t="s">
        <v>163</v>
      </c>
      <c r="B10" s="21" t="n">
        <v>0.2</v>
      </c>
    </row>
    <row r="12" customFormat="false" ht="27.75" hidden="false" customHeight="true" outlineLevel="0" collapsed="false">
      <c r="A12" s="11" t="s">
        <v>25</v>
      </c>
      <c r="B12" s="11" t="s">
        <v>26</v>
      </c>
      <c r="C12" s="11"/>
      <c r="D12" s="11" t="s">
        <v>27</v>
      </c>
      <c r="E12" s="11" t="s">
        <v>28</v>
      </c>
      <c r="F12" s="11" t="s">
        <v>29</v>
      </c>
      <c r="G12" s="11" t="s">
        <v>30</v>
      </c>
    </row>
    <row r="13" customFormat="false" ht="42" hidden="false" customHeight="true" outlineLevel="0" collapsed="false">
      <c r="A13" s="12" t="s">
        <v>164</v>
      </c>
      <c r="B13" s="13" t="n">
        <f aca="false">SLN($B$5,$B$6,$B$7)</f>
        <v>20000000</v>
      </c>
      <c r="D13" s="14" t="s">
        <v>165</v>
      </c>
      <c r="E13" s="7" t="s">
        <v>165</v>
      </c>
      <c r="F13" s="12" t="s">
        <v>166</v>
      </c>
      <c r="G13" s="12" t="s">
        <v>167</v>
      </c>
    </row>
    <row r="14" customFormat="false" ht="42" hidden="false" customHeight="true" outlineLevel="0" collapsed="false">
      <c r="A14" s="12" t="s">
        <v>168</v>
      </c>
      <c r="B14" s="13" t="n">
        <f aca="false">SYD($B$5,$B$6,$B$7,1)</f>
        <v>33333333.3333333</v>
      </c>
      <c r="D14" s="14" t="s">
        <v>169</v>
      </c>
      <c r="E14" s="7" t="s">
        <v>169</v>
      </c>
      <c r="F14" s="12" t="s">
        <v>170</v>
      </c>
      <c r="G14" s="12" t="s">
        <v>171</v>
      </c>
    </row>
    <row r="15" customFormat="false" ht="42" hidden="false" customHeight="true" outlineLevel="0" collapsed="false">
      <c r="A15" s="12" t="s">
        <v>172</v>
      </c>
      <c r="B15" s="13" t="n">
        <f aca="false">DB($B$5,$B$6,$B$7,1)</f>
        <v>36120000</v>
      </c>
      <c r="D15" s="14" t="s">
        <v>173</v>
      </c>
      <c r="E15" s="7" t="s">
        <v>173</v>
      </c>
      <c r="F15" s="12" t="s">
        <v>174</v>
      </c>
      <c r="G15" s="12" t="s">
        <v>175</v>
      </c>
    </row>
    <row r="16" customFormat="false" ht="42" hidden="false" customHeight="true" outlineLevel="0" collapsed="false">
      <c r="A16" s="12" t="s">
        <v>176</v>
      </c>
      <c r="B16" s="13" t="n">
        <f aca="false">DDB($B$5,$B$6,$B$7,1)</f>
        <v>48000000</v>
      </c>
      <c r="D16" s="14" t="s">
        <v>177</v>
      </c>
      <c r="E16" s="7" t="s">
        <v>177</v>
      </c>
      <c r="F16" s="12" t="s">
        <v>178</v>
      </c>
      <c r="G16" s="12" t="s">
        <v>179</v>
      </c>
    </row>
    <row r="17" customFormat="false" ht="42" hidden="false" customHeight="true" outlineLevel="0" collapsed="false">
      <c r="A17" s="12" t="s">
        <v>180</v>
      </c>
      <c r="B17" s="13" t="n">
        <f aca="false">VDB($B$5,$B$6,$B$7,0,2)</f>
        <v>76800000</v>
      </c>
      <c r="D17" s="14" t="s">
        <v>181</v>
      </c>
      <c r="E17" s="7" t="s">
        <v>182</v>
      </c>
      <c r="F17" s="12" t="s">
        <v>183</v>
      </c>
      <c r="G17" s="12" t="s">
        <v>184</v>
      </c>
    </row>
    <row r="18" customFormat="false" ht="42" hidden="false" customHeight="true" outlineLevel="0" collapsed="false">
      <c r="A18" s="12" t="s">
        <v>185</v>
      </c>
      <c r="B18" s="13" t="n">
        <f aca="false">AMORLINC($B$5,$B$8,$B$9,$B$6,0,$B$10,1)</f>
        <v>20054794.5205479</v>
      </c>
      <c r="D18" s="14" t="s">
        <v>186</v>
      </c>
      <c r="E18" s="7" t="s">
        <v>187</v>
      </c>
      <c r="F18" s="12" t="s">
        <v>188</v>
      </c>
      <c r="G18" s="12" t="s">
        <v>189</v>
      </c>
    </row>
    <row r="19" customFormat="false" ht="42" hidden="false" customHeight="true" outlineLevel="0" collapsed="false">
      <c r="A19" s="12" t="s">
        <v>190</v>
      </c>
      <c r="B19" s="13" t="n">
        <f aca="false">AMORDEGRC($B$5,$B$8,$B$9,$B$6,1,$B$10,1)</f>
        <v>31956164</v>
      </c>
      <c r="D19" s="14" t="s">
        <v>191</v>
      </c>
      <c r="E19" s="7" t="s">
        <v>192</v>
      </c>
      <c r="F19" s="12" t="s">
        <v>193</v>
      </c>
      <c r="G19" s="12" t="s">
        <v>194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46"/>
    <col collapsed="false" customWidth="true" hidden="false" outlineLevel="0" max="7" min="7" style="0" width="44"/>
  </cols>
  <sheetData>
    <row r="1" customFormat="false" ht="16.15" hidden="false" customHeight="false" outlineLevel="0" collapsed="false">
      <c r="A1" s="5" t="s">
        <v>195</v>
      </c>
    </row>
    <row r="2" customFormat="false" ht="15" hidden="false" customHeight="false" outlineLevel="0" collapsed="false">
      <c r="A2" s="2" t="s">
        <v>196</v>
      </c>
    </row>
    <row r="4" customFormat="false" ht="15" hidden="false" customHeight="false" outlineLevel="0" collapsed="false">
      <c r="A4" s="6" t="s">
        <v>17</v>
      </c>
    </row>
    <row r="5" customFormat="false" ht="15" hidden="false" customHeight="false" outlineLevel="0" collapsed="false">
      <c r="A5" s="7" t="s">
        <v>197</v>
      </c>
      <c r="B5" s="19" t="n">
        <v>46310</v>
      </c>
    </row>
    <row r="6" customFormat="false" ht="15" hidden="false" customHeight="false" outlineLevel="0" collapsed="false">
      <c r="A6" s="7" t="s">
        <v>198</v>
      </c>
      <c r="B6" s="19" t="n">
        <v>48136</v>
      </c>
    </row>
    <row r="7" customFormat="false" ht="15" hidden="false" customHeight="false" outlineLevel="0" collapsed="false">
      <c r="A7" s="7" t="s">
        <v>199</v>
      </c>
      <c r="B7" s="22" t="n">
        <v>0.09</v>
      </c>
    </row>
    <row r="8" customFormat="false" ht="15" hidden="false" customHeight="false" outlineLevel="0" collapsed="false">
      <c r="A8" s="7" t="s">
        <v>200</v>
      </c>
      <c r="B8" s="22" t="n">
        <v>0.105</v>
      </c>
    </row>
    <row r="9" customFormat="false" ht="15" hidden="false" customHeight="false" outlineLevel="0" collapsed="false">
      <c r="A9" s="7" t="s">
        <v>201</v>
      </c>
      <c r="B9" s="23" t="n">
        <v>95</v>
      </c>
    </row>
    <row r="10" customFormat="false" ht="15" hidden="false" customHeight="false" outlineLevel="0" collapsed="false">
      <c r="A10" s="7" t="s">
        <v>202</v>
      </c>
      <c r="B10" s="10" t="n">
        <v>1</v>
      </c>
    </row>
    <row r="11" customFormat="false" ht="15" hidden="false" customHeight="false" outlineLevel="0" collapsed="false">
      <c r="A11" s="7" t="s">
        <v>203</v>
      </c>
      <c r="B11" s="10" t="n">
        <v>1</v>
      </c>
    </row>
    <row r="12" customFormat="false" ht="15" hidden="false" customHeight="false" outlineLevel="0" collapsed="false">
      <c r="A12" s="7" t="s">
        <v>204</v>
      </c>
      <c r="B12" s="19" t="n">
        <v>46127</v>
      </c>
    </row>
    <row r="13" customFormat="false" ht="15" hidden="false" customHeight="false" outlineLevel="0" collapsed="false">
      <c r="A13" s="7" t="s">
        <v>205</v>
      </c>
      <c r="B13" s="19" t="n">
        <v>46490</v>
      </c>
    </row>
    <row r="14" customFormat="false" ht="15" hidden="false" customHeight="false" outlineLevel="0" collapsed="false">
      <c r="A14" s="7" t="s">
        <v>206</v>
      </c>
      <c r="B14" s="23" t="n">
        <v>95.5</v>
      </c>
    </row>
    <row r="15" customFormat="false" ht="15" hidden="false" customHeight="false" outlineLevel="0" collapsed="false">
      <c r="A15" s="7" t="s">
        <v>207</v>
      </c>
      <c r="B15" s="10" t="n">
        <v>2</v>
      </c>
    </row>
    <row r="17" customFormat="false" ht="27.75" hidden="false" customHeight="true" outlineLevel="0" collapsed="false">
      <c r="A17" s="11" t="s">
        <v>25</v>
      </c>
      <c r="B17" s="11" t="s">
        <v>26</v>
      </c>
      <c r="C17" s="11"/>
      <c r="D17" s="11" t="s">
        <v>27</v>
      </c>
      <c r="E17" s="11" t="s">
        <v>28</v>
      </c>
      <c r="F17" s="11" t="s">
        <v>29</v>
      </c>
      <c r="G17" s="11" t="s">
        <v>30</v>
      </c>
    </row>
    <row r="18" customFormat="false" ht="42" hidden="false" customHeight="true" outlineLevel="0" collapsed="false">
      <c r="A18" s="12" t="s">
        <v>208</v>
      </c>
      <c r="B18" s="24" t="n">
        <f aca="false">PRICE($B$5,$B$6,$B$7,$B$8,100,$B$10,$B$11)</f>
        <v>94.3857126647995</v>
      </c>
      <c r="D18" s="14" t="s">
        <v>209</v>
      </c>
      <c r="E18" s="7" t="s">
        <v>210</v>
      </c>
      <c r="F18" s="12" t="s">
        <v>211</v>
      </c>
      <c r="G18" s="12" t="s">
        <v>212</v>
      </c>
    </row>
    <row r="19" customFormat="false" ht="42" hidden="false" customHeight="true" outlineLevel="0" collapsed="false">
      <c r="A19" s="12" t="s">
        <v>213</v>
      </c>
      <c r="B19" s="16" t="n">
        <f aca="false">YIELD($B$5,$B$6,$B$7,$B$9,100,$B$10,$B$11)</f>
        <v>0.103301297770179</v>
      </c>
      <c r="D19" s="14" t="s">
        <v>214</v>
      </c>
      <c r="E19" s="7" t="s">
        <v>215</v>
      </c>
      <c r="F19" s="12" t="s">
        <v>216</v>
      </c>
      <c r="G19" s="12" t="s">
        <v>217</v>
      </c>
    </row>
    <row r="20" customFormat="false" ht="42" hidden="false" customHeight="true" outlineLevel="0" collapsed="false">
      <c r="A20" s="12" t="s">
        <v>218</v>
      </c>
      <c r="B20" s="24" t="n">
        <f aca="false">DURATION($B$5,$B$6,$B$7,$B$8,$B$10,$B$11)</f>
        <v>4.21570538074369</v>
      </c>
      <c r="D20" s="14" t="s">
        <v>219</v>
      </c>
      <c r="E20" s="7" t="s">
        <v>220</v>
      </c>
      <c r="F20" s="12" t="s">
        <v>221</v>
      </c>
      <c r="G20" s="12" t="s">
        <v>222</v>
      </c>
    </row>
    <row r="21" customFormat="false" ht="42" hidden="false" customHeight="true" outlineLevel="0" collapsed="false">
      <c r="A21" s="12" t="s">
        <v>223</v>
      </c>
      <c r="B21" s="24" t="n">
        <f aca="false">MDURATION($B$5,$B$6,$B$7,$B$8,$B$10,$B$11)</f>
        <v>3.81511799162325</v>
      </c>
      <c r="D21" s="14" t="s">
        <v>224</v>
      </c>
      <c r="E21" s="7" t="s">
        <v>225</v>
      </c>
      <c r="F21" s="12" t="s">
        <v>226</v>
      </c>
      <c r="G21" s="12" t="s">
        <v>227</v>
      </c>
    </row>
    <row r="22" customFormat="false" ht="42" hidden="false" customHeight="true" outlineLevel="0" collapsed="false">
      <c r="A22" s="12" t="s">
        <v>228</v>
      </c>
      <c r="B22" s="24" t="n">
        <f aca="false">ACCRINT($B$12,DATE(2027,4,15),$B$5,$B$7,100,$B$10,$B$11)</f>
        <v>4.51232876712329</v>
      </c>
      <c r="D22" s="14" t="s">
        <v>229</v>
      </c>
      <c r="E22" s="7" t="s">
        <v>230</v>
      </c>
      <c r="F22" s="12" t="s">
        <v>231</v>
      </c>
      <c r="G22" s="12" t="s">
        <v>232</v>
      </c>
    </row>
    <row r="23" customFormat="false" ht="42" hidden="false" customHeight="true" outlineLevel="0" collapsed="false">
      <c r="A23" s="12" t="s">
        <v>233</v>
      </c>
      <c r="B23" s="25" t="n">
        <f aca="false">COUPNUM($B$5,$B$6,$B$10,$B$11)</f>
        <v>5</v>
      </c>
      <c r="D23" s="14" t="s">
        <v>234</v>
      </c>
      <c r="E23" s="7" t="s">
        <v>235</v>
      </c>
      <c r="F23" s="12" t="s">
        <v>236</v>
      </c>
      <c r="G23" s="12" t="s">
        <v>237</v>
      </c>
    </row>
    <row r="24" customFormat="false" ht="42" hidden="false" customHeight="true" outlineLevel="0" collapsed="false">
      <c r="A24" s="12" t="s">
        <v>238</v>
      </c>
      <c r="B24" s="26" t="n">
        <f aca="false">COUPNCD($B$5,$B$6,$B$10,$B$11)</f>
        <v>46675</v>
      </c>
      <c r="D24" s="14" t="s">
        <v>239</v>
      </c>
      <c r="E24" s="7" t="s">
        <v>240</v>
      </c>
      <c r="F24" s="12" t="s">
        <v>241</v>
      </c>
      <c r="G24" s="12"/>
    </row>
    <row r="25" customFormat="false" ht="42" hidden="false" customHeight="true" outlineLevel="0" collapsed="false">
      <c r="A25" s="12" t="s">
        <v>242</v>
      </c>
      <c r="B25" s="16" t="n">
        <f aca="false">DISC($B$5,$B$13,$B$14,100,$B$15)</f>
        <v>0.0900000000000001</v>
      </c>
      <c r="D25" s="14" t="s">
        <v>243</v>
      </c>
      <c r="E25" s="7" t="s">
        <v>244</v>
      </c>
      <c r="F25" s="12" t="s">
        <v>245</v>
      </c>
      <c r="G25" s="12" t="s">
        <v>246</v>
      </c>
    </row>
    <row r="26" customFormat="false" ht="42" hidden="false" customHeight="true" outlineLevel="0" collapsed="false">
      <c r="A26" s="12" t="s">
        <v>247</v>
      </c>
      <c r="B26" s="16" t="n">
        <f aca="false">YIELDDISC($B$5,$B$13,$B$14,100,$B$15)</f>
        <v>0.0942408376963351</v>
      </c>
      <c r="D26" s="14" t="s">
        <v>248</v>
      </c>
      <c r="E26" s="7" t="s">
        <v>249</v>
      </c>
      <c r="F26" s="12" t="s">
        <v>250</v>
      </c>
      <c r="G26" s="12" t="s">
        <v>251</v>
      </c>
    </row>
    <row r="27" customFormat="false" ht="42" hidden="false" customHeight="true" outlineLevel="0" collapsed="false">
      <c r="A27" s="12" t="s">
        <v>252</v>
      </c>
      <c r="B27" s="24" t="n">
        <f aca="false">PRICEDISC($B$5,$B$13,9%,100,$B$15)</f>
        <v>95.5</v>
      </c>
      <c r="D27" s="14" t="s">
        <v>253</v>
      </c>
      <c r="E27" s="7" t="s">
        <v>254</v>
      </c>
      <c r="F27" s="12" t="s">
        <v>255</v>
      </c>
      <c r="G27" s="12"/>
    </row>
    <row r="28" customFormat="false" ht="42" hidden="false" customHeight="true" outlineLevel="0" collapsed="false">
      <c r="A28" s="12" t="s">
        <v>256</v>
      </c>
      <c r="B28" s="16" t="n">
        <f aca="false">INTRATE($B$5,$B$13,$B$14,100,$B$15)</f>
        <v>0.0942408376963351</v>
      </c>
      <c r="D28" s="14" t="s">
        <v>257</v>
      </c>
      <c r="E28" s="7" t="s">
        <v>258</v>
      </c>
      <c r="F28" s="12" t="s">
        <v>259</v>
      </c>
      <c r="G28" s="12" t="s">
        <v>260</v>
      </c>
    </row>
    <row r="29" customFormat="false" ht="42" hidden="false" customHeight="true" outlineLevel="0" collapsed="false">
      <c r="A29" s="12" t="s">
        <v>261</v>
      </c>
      <c r="B29" s="24" t="n">
        <f aca="false">RECEIVED($B$5,$B$13,$B$14,9%,$B$15)</f>
        <v>100</v>
      </c>
      <c r="D29" s="14" t="s">
        <v>262</v>
      </c>
      <c r="E29" s="7" t="s">
        <v>263</v>
      </c>
      <c r="F29" s="12" t="s">
        <v>264</v>
      </c>
      <c r="G29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6" min="6" style="0" width="46"/>
    <col collapsed="false" customWidth="true" hidden="false" outlineLevel="0" max="7" min="7" style="0" width="44"/>
  </cols>
  <sheetData>
    <row r="1" customFormat="false" ht="16.15" hidden="false" customHeight="false" outlineLevel="0" collapsed="false">
      <c r="A1" s="5" t="s">
        <v>265</v>
      </c>
    </row>
    <row r="2" customFormat="false" ht="15" hidden="false" customHeight="false" outlineLevel="0" collapsed="false">
      <c r="A2" s="2" t="s">
        <v>266</v>
      </c>
    </row>
    <row r="4" customFormat="false" ht="15" hidden="false" customHeight="false" outlineLevel="0" collapsed="false">
      <c r="A4" s="6" t="s">
        <v>17</v>
      </c>
    </row>
    <row r="5" customFormat="false" ht="15" hidden="false" customHeight="false" outlineLevel="0" collapsed="false">
      <c r="A5" s="7" t="s">
        <v>267</v>
      </c>
      <c r="B5" s="19" t="n">
        <v>46310</v>
      </c>
    </row>
    <row r="6" customFormat="false" ht="15" hidden="false" customHeight="false" outlineLevel="0" collapsed="false">
      <c r="A6" s="7" t="s">
        <v>268</v>
      </c>
      <c r="B6" s="19" t="n">
        <v>46490</v>
      </c>
    </row>
    <row r="7" customFormat="false" ht="15" hidden="false" customHeight="false" outlineLevel="0" collapsed="false">
      <c r="A7" s="7" t="s">
        <v>269</v>
      </c>
      <c r="B7" s="22" t="n">
        <v>0.09</v>
      </c>
    </row>
    <row r="9" customFormat="false" ht="27.75" hidden="false" customHeight="true" outlineLevel="0" collapsed="false">
      <c r="A9" s="11" t="s">
        <v>25</v>
      </c>
      <c r="B9" s="11" t="s">
        <v>26</v>
      </c>
      <c r="C9" s="11"/>
      <c r="D9" s="11" t="s">
        <v>27</v>
      </c>
      <c r="E9" s="11" t="s">
        <v>28</v>
      </c>
      <c r="F9" s="11" t="s">
        <v>29</v>
      </c>
      <c r="G9" s="11" t="s">
        <v>30</v>
      </c>
    </row>
    <row r="10" customFormat="false" ht="42" hidden="false" customHeight="true" outlineLevel="0" collapsed="false">
      <c r="A10" s="12" t="s">
        <v>270</v>
      </c>
      <c r="B10" s="24" t="n">
        <f aca="false">TBILLPRICE($B$5,$B$6,$B$7)</f>
        <v>95.525</v>
      </c>
      <c r="D10" s="14" t="s">
        <v>271</v>
      </c>
      <c r="E10" s="7" t="s">
        <v>272</v>
      </c>
      <c r="F10" s="12" t="s">
        <v>273</v>
      </c>
      <c r="G10" s="12" t="s">
        <v>274</v>
      </c>
    </row>
    <row r="11" customFormat="false" ht="42" hidden="false" customHeight="true" outlineLevel="0" collapsed="false">
      <c r="A11" s="12" t="s">
        <v>275</v>
      </c>
      <c r="B11" s="16" t="n">
        <f aca="false">TBILLYIELD($B$5,$B$6,95.5)</f>
        <v>0.0947673228231302</v>
      </c>
      <c r="D11" s="14" t="s">
        <v>276</v>
      </c>
      <c r="E11" s="7" t="s">
        <v>277</v>
      </c>
      <c r="F11" s="12" t="s">
        <v>278</v>
      </c>
      <c r="G11" s="12"/>
    </row>
    <row r="12" customFormat="false" ht="42" hidden="false" customHeight="true" outlineLevel="0" collapsed="false">
      <c r="A12" s="12" t="s">
        <v>279</v>
      </c>
      <c r="B12" s="16" t="n">
        <f aca="false">TBILLEQ($B$5,$B$6,$B$7)</f>
        <v>0.0955247317456163</v>
      </c>
      <c r="D12" s="14" t="s">
        <v>280</v>
      </c>
      <c r="E12" s="7" t="s">
        <v>281</v>
      </c>
      <c r="F12" s="12" t="s">
        <v>282</v>
      </c>
      <c r="G12" s="12"/>
    </row>
    <row r="13" customFormat="false" ht="42" hidden="false" customHeight="true" outlineLevel="0" collapsed="false">
      <c r="A13" s="12" t="s">
        <v>283</v>
      </c>
      <c r="B13" s="27" t="n">
        <f aca="false">DOLLARDE(101.01,32)</f>
        <v>101.03125</v>
      </c>
      <c r="D13" s="14" t="s">
        <v>284</v>
      </c>
      <c r="E13" s="7" t="s">
        <v>285</v>
      </c>
      <c r="F13" s="12" t="s">
        <v>286</v>
      </c>
      <c r="G13" s="12" t="s">
        <v>287</v>
      </c>
    </row>
    <row r="14" customFormat="false" ht="42" hidden="false" customHeight="true" outlineLevel="0" collapsed="false">
      <c r="A14" s="12" t="s">
        <v>288</v>
      </c>
      <c r="B14" s="15" t="n">
        <f aca="false">DOLLARFR(101.03125,32)</f>
        <v>101.01</v>
      </c>
      <c r="D14" s="14" t="s">
        <v>289</v>
      </c>
      <c r="E14" s="7" t="s">
        <v>290</v>
      </c>
      <c r="F14" s="12" t="s">
        <v>291</v>
      </c>
      <c r="G14" s="12"/>
    </row>
    <row r="16" customFormat="false" ht="15" hidden="false" customHeight="false" outlineLevel="0" collapsed="false">
      <c r="A16" s="2" t="s">
        <v>292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2026-10-12T01:27:28Z</dcterms:created>
  <dc:creator>openpyxl</dc:creator>
  <dc:description/>
  <dc:language>en-US</dc:language>
  <cp:lastModifiedBy/>
  <dcterms:modified xsi:type="dcterms:W3CDTF">2026-10-12T01:27:28Z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