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ice" sheetId="1" state="visible" r:id="rId3"/>
    <sheet name="S1_Tasas" sheetId="2" state="visible" r:id="rId4"/>
    <sheet name="S2_Anualidades" sheetId="3" state="visible" r:id="rId5"/>
    <sheet name="S2_Gradientes" sheetId="4" state="visible" r:id="rId6"/>
    <sheet name="S3_Cuota_fija" sheetId="5" state="visible" r:id="rId7"/>
    <sheet name="S3_Sistemas" sheetId="6" state="visible" r:id="rId8"/>
    <sheet name="S3_Fondo_Apalanc" sheetId="7" state="visible" r:id="rId9"/>
    <sheet name="S4_WACC" sheetId="8" state="visible" r:id="rId10"/>
    <sheet name="S4_Proyecto" sheetId="9" state="visible" r:id="rId11"/>
    <sheet name="S4_Excluyentes" sheetId="10" state="visible" r:id="rId12"/>
    <sheet name="S4_Sensibilidad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<sst xmlns="http://schemas.openxmlformats.org/spreadsheetml/2006/main" count="388" uniqueCount="320">
  <si>
    <t xml:space="preserve">Matemáticas para la Toma de Decisiones · Libro de ejercicios</t>
  </si>
  <si>
    <t xml:space="preserve">Especialización en Gerencia Financiera · Docente: Alexander Zamora · Caso: Tostadora Andina S.A.S. (empresa ficticia)</t>
  </si>
  <si>
    <t xml:space="preserve">Cómo usar este libro</t>
  </si>
  <si>
    <t xml:space="preserve">•</t>
  </si>
  <si>
    <t xml:space="preserve">Cada hoja corresponde a un bloque de una sesión y reproduce los ejemplos del guion docente.</t>
  </si>
  <si>
    <t xml:space="preserve">Las celdas con fondo amarillo y texto azul son supuestos: puede cambiarlas y todo se recalcula.</t>
  </si>
  <si>
    <t xml:space="preserve">Las celdas con fondo naranja son los resultados clave que se discuten en clase.</t>
  </si>
  <si>
    <t xml:space="preserve">Las funciones se escriben en Excel en español (PAGO, VA, VF, VNA, TIR…); el archivo funciona igual en cualquier idioma.</t>
  </si>
  <si>
    <t xml:space="preserve">Los valores de IBR, inflación, tasa libre de riesgo y primas son supuestos didácticos; conviene actualizarlos antes de clase.</t>
  </si>
  <si>
    <t xml:space="preserve">Hojas</t>
  </si>
  <si>
    <t xml:space="preserve">Hoja</t>
  </si>
  <si>
    <t xml:space="preserve">Contenido</t>
  </si>
  <si>
    <t xml:space="preserve">S1_Tasas</t>
  </si>
  <si>
    <t xml:space="preserve">Sesión 1: interés simple y compuesto, conversión de tasas, ofertas de crédito, tasa real y ecuación de valor</t>
  </si>
  <si>
    <t xml:space="preserve">S2_Anualidades</t>
  </si>
  <si>
    <t xml:space="preserve">Sesión 2: leasing, anualidad vencida y anticipada, fondo de ahorro y perpetuidad</t>
  </si>
  <si>
    <t xml:space="preserve">S2_Gradientes</t>
  </si>
  <si>
    <t xml:space="preserve">Sesión 2: gradiente aritmético y geométrico, con verificación período a período</t>
  </si>
  <si>
    <t xml:space="preserve">S3_Cuota_fija</t>
  </si>
  <si>
    <t xml:space="preserve">Sesión 3: tabla de amortización en cuota fija (sistema francés)</t>
  </si>
  <si>
    <t xml:space="preserve">S3_Sistemas</t>
  </si>
  <si>
    <t xml:space="preserve">Sesión 3: abono constante, cuota creciente, gracia con intereses y gracia muerta; resumen comparativo</t>
  </si>
  <si>
    <t xml:space="preserve">S3_Fondo_Apalanc</t>
  </si>
  <si>
    <t xml:space="preserve">Sesión 3: fondo de amortización, escudo fiscal y efecto del apalancamiento en el ROE</t>
  </si>
  <si>
    <t xml:space="preserve">S4_WACC</t>
  </si>
  <si>
    <t xml:space="preserve">Sesión 4: costo de la deuda, CAPM y WACC</t>
  </si>
  <si>
    <t xml:space="preserve">S4_Proyecto</t>
  </si>
  <si>
    <t xml:space="preserve">Sesión 4: flujo de caja libre, VPN, TIR, TIRM, B/C, recuperación descontada y EVA</t>
  </si>
  <si>
    <t xml:space="preserve">S4_Excluyentes</t>
  </si>
  <si>
    <t xml:space="preserve">Sesión 4: conflicto VPN vs. TIR, perfil del VPN y tasa de Fisher</t>
  </si>
  <si>
    <t xml:space="preserve">S4_Sensibilidad</t>
  </si>
  <si>
    <t xml:space="preserve">Sesión 4: escenarios y sensibilidad del VPN</t>
  </si>
  <si>
    <t xml:space="preserve">Leyenda</t>
  </si>
  <si>
    <t xml:space="preserve">Supuesto (editable)</t>
  </si>
  <si>
    <t xml:space="preserve">Resultado clave</t>
  </si>
  <si>
    <t xml:space="preserve">Sesión 1 · Valor del dinero en el tiempo y tasas de interés</t>
  </si>
  <si>
    <t xml:space="preserve">Ejemplos del guion docente. Celdas amarillas = supuestos editables.</t>
  </si>
  <si>
    <t xml:space="preserve">1. Interés simple vs. compuesto</t>
  </si>
  <si>
    <t xml:space="preserve">Capital (P)</t>
  </si>
  <si>
    <t xml:space="preserve">Tasa mensual (i)</t>
  </si>
  <si>
    <t xml:space="preserve">Número de meses (n)</t>
  </si>
  <si>
    <t xml:space="preserve">Valor futuro con interés simple</t>
  </si>
  <si>
    <t xml:space="preserve">F = P(1 + i·n)</t>
  </si>
  <si>
    <t xml:space="preserve">Valor futuro con interés compuesto</t>
  </si>
  <si>
    <t xml:space="preserve">F = P(1 + i)^n</t>
  </si>
  <si>
    <t xml:space="preserve">Verificación con VF (FV)</t>
  </si>
  <si>
    <t xml:space="preserve">=VF(i;n;0;-P)</t>
  </si>
  <si>
    <t xml:space="preserve">Intereses sobre intereses</t>
  </si>
  <si>
    <t xml:space="preserve">2. Conversión de tasas</t>
  </si>
  <si>
    <t xml:space="preserve">Tasa</t>
  </si>
  <si>
    <t xml:space="preserve">Tasa anunciada</t>
  </si>
  <si>
    <t xml:space="preserve">Periodos por año (m)</t>
  </si>
  <si>
    <t xml:space="preserve">Tasa periódica vencida</t>
  </si>
  <si>
    <t xml:space="preserve">Tasa E.A.</t>
  </si>
  <si>
    <t xml:space="preserve">Cómo se calcula</t>
  </si>
  <si>
    <t xml:space="preserve">24 % N.M.V.</t>
  </si>
  <si>
    <t xml:space="preserve">Excel: =INT.EFECTIVO(24%;12)</t>
  </si>
  <si>
    <t xml:space="preserve">24 % N.T.A.</t>
  </si>
  <si>
    <t xml:space="preserve">Anticipada: i = ia / (1 − ia)</t>
  </si>
  <si>
    <t xml:space="preserve">Verificación: INT.EFECTIVO (EFFECT)</t>
  </si>
  <si>
    <t xml:space="preserve">Inverso: de E.A. a nominal mensual (TASA.NOMINAL)</t>
  </si>
  <si>
    <t xml:space="preserve">3. Caso: ¿cuál oferta de crédito es la más barata? (crédito de $200 millones)</t>
  </si>
  <si>
    <t xml:space="preserve">IBR supuesta (N.M.V.)</t>
  </si>
  <si>
    <t xml:space="preserve">Supuesto didáctico: reemplazar por la IBR vigente</t>
  </si>
  <si>
    <t xml:space="preserve">Oferta</t>
  </si>
  <si>
    <t xml:space="preserve">Tasa nominal o efectiva</t>
  </si>
  <si>
    <t xml:space="preserve">Puesto (1 = más barata)</t>
  </si>
  <si>
    <t xml:space="preserve">A: 22 % N.M.V.</t>
  </si>
  <si>
    <t xml:space="preserve">B: 23,5 % E.A.</t>
  </si>
  <si>
    <t xml:space="preserve">C: 21 % N.T.A.</t>
  </si>
  <si>
    <t xml:space="preserve">D: IBR + 12 p.p. N.M.V.</t>
  </si>
  <si>
    <t xml:space="preserve">Lectura: la oferta C parece la más barata ("21"), pero en E.A. es la tercera. D y B son casi iguales; D es variable (riesgo de IBR).</t>
  </si>
  <si>
    <t xml:space="preserve">4. Tasa real (ecuación de Fisher)</t>
  </si>
  <si>
    <t xml:space="preserve">Tasa E.A. del crédito elegido (B)</t>
  </si>
  <si>
    <t xml:space="preserve">Inflación esperada (supuesto)</t>
  </si>
  <si>
    <t xml:space="preserve">Tasa real</t>
  </si>
  <si>
    <t xml:space="preserve">(1 + i) = (1 + r)(1 + π)</t>
  </si>
  <si>
    <t xml:space="preserve">Resta simple (incorrecta)</t>
  </si>
  <si>
    <t xml:space="preserve">Sobreestima el costo real</t>
  </si>
  <si>
    <t xml:space="preserve">5. Ecuación de valor: un solo pago en el mes 6</t>
  </si>
  <si>
    <t xml:space="preserve">Deuda 1 (valor)</t>
  </si>
  <si>
    <t xml:space="preserve">Deuda 1 (mes de vencimiento)</t>
  </si>
  <si>
    <t xml:space="preserve">Deuda 2 (valor)</t>
  </si>
  <si>
    <t xml:space="preserve">Deuda 2 (mes de vencimiento)</t>
  </si>
  <si>
    <t xml:space="preserve">Tasa mensual</t>
  </si>
  <si>
    <t xml:space="preserve">Fecha focal (mes del pago único)</t>
  </si>
  <si>
    <t xml:space="preserve">Pago único equivalente</t>
  </si>
  <si>
    <t xml:space="preserve">Cada deuda se lleva a la fecha focal</t>
  </si>
  <si>
    <t xml:space="preserve">Comprobación con fecha focal en el mes 0</t>
  </si>
  <si>
    <t xml:space="preserve">Debe dar exactamente lo mismo</t>
  </si>
  <si>
    <t xml:space="preserve">Sesión 2 · Anualidades</t>
  </si>
  <si>
    <t xml:space="preserve">Leasing, anualidad vencida y anticipada, fondo de ahorro, perpetuidad</t>
  </si>
  <si>
    <t xml:space="preserve">1. Canon de leasing con opción de compra</t>
  </si>
  <si>
    <t xml:space="preserve">Valor del equipo</t>
  </si>
  <si>
    <t xml:space="preserve">Plazo (meses)</t>
  </si>
  <si>
    <t xml:space="preserve">Opción de compra (% del valor)</t>
  </si>
  <si>
    <t xml:space="preserve">Opción de compra ($)</t>
  </si>
  <si>
    <t xml:space="preserve">Canon mensual (fórmula)</t>
  </si>
  <si>
    <t xml:space="preserve">[P − OC/(1+i)^n] × i / [1 − (1+i)^−n]</t>
  </si>
  <si>
    <t xml:space="preserve">Canon mensual con PAGO (PMT)</t>
  </si>
  <si>
    <t xml:space="preserve">=PAGO(i;n;-P;OC)</t>
  </si>
  <si>
    <t xml:space="preserve">2. Arriendo de bodega: vencido vs. anticipado</t>
  </si>
  <si>
    <t xml:space="preserve">Pago mensual</t>
  </si>
  <si>
    <t xml:space="preserve">Número de pagos</t>
  </si>
  <si>
    <t xml:space="preserve">Valor presente vencido</t>
  </si>
  <si>
    <t xml:space="preserve">=VA(i;n;-A)</t>
  </si>
  <si>
    <t xml:space="preserve">Valor presente anticipado</t>
  </si>
  <si>
    <t xml:space="preserve">=VA(i;n;-A;0;1)</t>
  </si>
  <si>
    <t xml:space="preserve">Comprobación: vencido × (1 + i)</t>
  </si>
  <si>
    <t xml:space="preserve">3. Fondo de ahorro (valor futuro de una anualidad)</t>
  </si>
  <si>
    <t xml:space="preserve">Depósito mensual</t>
  </si>
  <si>
    <t xml:space="preserve">Número de depósitos</t>
  </si>
  <si>
    <t xml:space="preserve">Valor futuro (fórmula)</t>
  </si>
  <si>
    <t xml:space="preserve">Valor futuro con VF (FV)</t>
  </si>
  <si>
    <t xml:space="preserve">=VF(i;n;-A)</t>
  </si>
  <si>
    <t xml:space="preserve">4. Perpetuidad</t>
  </si>
  <si>
    <t xml:space="preserve">Flujo anual constante</t>
  </si>
  <si>
    <t xml:space="preserve">Tasa anual</t>
  </si>
  <si>
    <t xml:space="preserve">Valor presente de la perpetuidad</t>
  </si>
  <si>
    <t xml:space="preserve">P = A / i</t>
  </si>
  <si>
    <t xml:space="preserve">5. Otras funciones útiles</t>
  </si>
  <si>
    <t xml:space="preserve">Plazo para pagar $50 millones con cuotas de $2 millones al 1,5 % mensual</t>
  </si>
  <si>
    <t xml:space="preserve">=NPER(i;-A;P) → meses</t>
  </si>
  <si>
    <t xml:space="preserve">Tasa implícita: $50 millones pagados con 36 cuotas de $2 millones</t>
  </si>
  <si>
    <t xml:space="preserve">=TASA(n;-A;P) → mensual</t>
  </si>
  <si>
    <t xml:space="preserve">Sesión 2 · Gradientes</t>
  </si>
  <si>
    <t xml:space="preserve">Fórmula cerrada y verificación período a período</t>
  </si>
  <si>
    <t xml:space="preserve">1. Gradiente aritmético: mantenimiento creciente</t>
  </si>
  <si>
    <t xml:space="preserve">Mes</t>
  </si>
  <si>
    <t xml:space="preserve">Pago</t>
  </si>
  <si>
    <t xml:space="preserve">VP del pago</t>
  </si>
  <si>
    <t xml:space="preserve">Ahorro</t>
  </si>
  <si>
    <t xml:space="preserve">VP del ahorro</t>
  </si>
  <si>
    <t xml:space="preserve">Primer pago (A)</t>
  </si>
  <si>
    <t xml:space="preserve">Aumento mensual (G)</t>
  </si>
  <si>
    <t xml:space="preserve">Número de meses</t>
  </si>
  <si>
    <t xml:space="preserve">Valor presente (fórmula)</t>
  </si>
  <si>
    <t xml:space="preserve">Verificación: suma de VP período a período</t>
  </si>
  <si>
    <t xml:space="preserve">Tabla a la derecha</t>
  </si>
  <si>
    <t xml:space="preserve">Verificación con VNA (NPV)</t>
  </si>
  <si>
    <t xml:space="preserve">=VNA(i;pagos)</t>
  </si>
  <si>
    <t xml:space="preserve">2. Gradiente geométrico: ahorros crecientes de la tostadora</t>
  </si>
  <si>
    <t xml:space="preserve">Ahorro del primer mes (A1)</t>
  </si>
  <si>
    <t xml:space="preserve">Crecimiento mensual (g)</t>
  </si>
  <si>
    <t xml:space="preserve">Tasa de oportunidad mensual (i)</t>
  </si>
  <si>
    <t xml:space="preserve">Si i ≠ g</t>
  </si>
  <si>
    <t xml:space="preserve">Costo del equipo</t>
  </si>
  <si>
    <t xml:space="preserve">¿Los ahorros justifican el equipo por sí solos?</t>
  </si>
  <si>
    <t xml:space="preserve">Suma VP</t>
  </si>
  <si>
    <t xml:space="preserve">Sesión 3 · Tabla de amortización en cuota fija</t>
  </si>
  <si>
    <t xml:space="preserve">Crédito de la oferta B para Tostadora Andina</t>
  </si>
  <si>
    <t xml:space="preserve">Monto del crédito</t>
  </si>
  <si>
    <t xml:space="preserve">Saldo inicial</t>
  </si>
  <si>
    <t xml:space="preserve">Cuota</t>
  </si>
  <si>
    <t xml:space="preserve">Intereses</t>
  </si>
  <si>
    <t xml:space="preserve">Abono a capital</t>
  </si>
  <si>
    <t xml:space="preserve">Saldo final</t>
  </si>
  <si>
    <t xml:space="preserve">Tasa efectiva anual</t>
  </si>
  <si>
    <t xml:space="preserve">Viene de la hoja S1 (oferta B)</t>
  </si>
  <si>
    <t xml:space="preserve">Tasa mensual equivalente</t>
  </si>
  <si>
    <t xml:space="preserve">(1 + E.A.)^(1/12) − 1</t>
  </si>
  <si>
    <t xml:space="preserve">Cuota fija</t>
  </si>
  <si>
    <t xml:space="preserve">=PAGO(i;n;-P)</t>
  </si>
  <si>
    <t xml:space="preserve">Total pagado</t>
  </si>
  <si>
    <t xml:space="preserve">Total intereses</t>
  </si>
  <si>
    <t xml:space="preserve">Intereses cuota 1 con PAGOINT (IPMT)</t>
  </si>
  <si>
    <t xml:space="preserve">Abono cuota 1 con PAGOPRIN (PPMT)</t>
  </si>
  <si>
    <t xml:space="preserve">Sesión 3 · Comparación de sistemas de amortización</t>
  </si>
  <si>
    <t xml:space="preserve">Mismo crédito, misma tasa: cambia el perfil de caja</t>
  </si>
  <si>
    <t xml:space="preserve">Monto</t>
  </si>
  <si>
    <t xml:space="preserve">Plazo total (meses)</t>
  </si>
  <si>
    <t xml:space="preserve">Crecimiento de la cuota creciente</t>
  </si>
  <si>
    <t xml:space="preserve">Meses de gracia</t>
  </si>
  <si>
    <t xml:space="preserve">Resumen comparativo</t>
  </si>
  <si>
    <t xml:space="preserve">Sistema</t>
  </si>
  <si>
    <t xml:space="preserve">Primera cuota</t>
  </si>
  <si>
    <t xml:space="preserve">Última cuota</t>
  </si>
  <si>
    <t xml:space="preserve">Cuota fija (francés)</t>
  </si>
  <si>
    <t xml:space="preserve">Abono constante a capital</t>
  </si>
  <si>
    <t xml:space="preserve">Cuota creciente</t>
  </si>
  <si>
    <t xml:space="preserve">Gracia con pago de intereses</t>
  </si>
  <si>
    <t xml:space="preserve">Gracia muerta (capitaliza)</t>
  </si>
  <si>
    <t xml:space="preserve">Todos los sistemas tienen el mismo valor presente a la tasa del crédito (igual al monto prestado). Ninguno es "más barato": cambia el perfil de caja.</t>
  </si>
  <si>
    <t xml:space="preserve">VP de las cuotas — abono constante</t>
  </si>
  <si>
    <t xml:space="preserve">VP de las cuotas — gracia muerta</t>
  </si>
  <si>
    <t xml:space="preserve">Abono</t>
  </si>
  <si>
    <t xml:space="preserve">Sesión 3 · Capitalización y apalancamiento</t>
  </si>
  <si>
    <t xml:space="preserve">Fondo de amortización, escudo fiscal y efecto de la deuda sobre el ROE</t>
  </si>
  <si>
    <t xml:space="preserve">1. Fondo de amortización (capitalización)</t>
  </si>
  <si>
    <t xml:space="preserve">Valor a reunir</t>
  </si>
  <si>
    <t xml:space="preserve">Rentabilidad mensual de la fiducia</t>
  </si>
  <si>
    <t xml:space="preserve">=PAGO(i;n;0;-F)</t>
  </si>
  <si>
    <t xml:space="preserve">2. Escudo fiscal y costo de la deuda después de impuestos</t>
  </si>
  <si>
    <t xml:space="preserve">Tarifa del impuesto de renta</t>
  </si>
  <si>
    <t xml:space="preserve">Tarifa general para personas jurídicas</t>
  </si>
  <si>
    <t xml:space="preserve">Kd (E.A.)</t>
  </si>
  <si>
    <t xml:space="preserve">Kd después de impuestos</t>
  </si>
  <si>
    <t xml:space="preserve">Intereses totales del crédito (cuota fija)</t>
  </si>
  <si>
    <t xml:space="preserve">Escudo fiscal total</t>
  </si>
  <si>
    <t xml:space="preserve">3. Efecto del apalancamiento en el ROE (año 1 del proyecto)</t>
  </si>
  <si>
    <t xml:space="preserve">Inversión total</t>
  </si>
  <si>
    <t xml:space="preserve">Deuda</t>
  </si>
  <si>
    <t xml:space="preserve">UODI año 1 (utilidad operativa después de impuestos)</t>
  </si>
  <si>
    <t xml:space="preserve">Concepto</t>
  </si>
  <si>
    <t xml:space="preserve">Sin deuda</t>
  </si>
  <si>
    <t xml:space="preserve">Con deuda</t>
  </si>
  <si>
    <t xml:space="preserve">Patrimonio de los socios</t>
  </si>
  <si>
    <t xml:space="preserve">Intereses después de impuestos</t>
  </si>
  <si>
    <t xml:space="preserve">Utilidad neta</t>
  </si>
  <si>
    <t xml:space="preserve">ROIC = UODI / inversión</t>
  </si>
  <si>
    <t xml:space="preserve">ROE = utilidad neta / patrimonio</t>
  </si>
  <si>
    <t xml:space="preserve">La deuda aumenta el ROE porque el ROIC supera al Kd después de impuestos. Pruebe a bajar la UODI: si el ROIC cae por debajo del Kd neto, la deuda reduce el ROE.</t>
  </si>
  <si>
    <t xml:space="preserve">Sesión 4 · Costo promedio ponderado de capital (WACC)</t>
  </si>
  <si>
    <t xml:space="preserve">Supuestos de mercado didácticos: actualizar con datos vigentes antes de clase</t>
  </si>
  <si>
    <t xml:space="preserve">Deuda (D)</t>
  </si>
  <si>
    <t xml:space="preserve">Patrimonio (E)</t>
  </si>
  <si>
    <t xml:space="preserve">Kd antes de impuestos</t>
  </si>
  <si>
    <t xml:space="preserve">Oferta B</t>
  </si>
  <si>
    <t xml:space="preserve">Tarifa de renta (t)</t>
  </si>
  <si>
    <t xml:space="preserve">Tasa libre de riesgo (Rf)</t>
  </si>
  <si>
    <t xml:space="preserve">Supuesto: TES de largo plazo</t>
  </si>
  <si>
    <t xml:space="preserve">Beta apalancada (β)</t>
  </si>
  <si>
    <t xml:space="preserve">Supuesto: sector alimentos</t>
  </si>
  <si>
    <t xml:space="preserve">Prima de riesgo de mercado (Rm − Rf)</t>
  </si>
  <si>
    <t xml:space="preserve">Supuesto</t>
  </si>
  <si>
    <t xml:space="preserve">Prima por tamaño e iliquidez</t>
  </si>
  <si>
    <t xml:space="preserve">Supuesto: empresa mediana no listada</t>
  </si>
  <si>
    <t xml:space="preserve">Ke (CAPM ajustado)</t>
  </si>
  <si>
    <t xml:space="preserve">Rf + β(Rm − Rf) + primas</t>
  </si>
  <si>
    <t xml:space="preserve">Peso de la deuda (D/V)</t>
  </si>
  <si>
    <t xml:space="preserve">Peso del patrimonio (E/V)</t>
  </si>
  <si>
    <t xml:space="preserve">WACC</t>
  </si>
  <si>
    <t xml:space="preserve">(D/V)·Kd·(1 − t) + (E/V)·Ke</t>
  </si>
  <si>
    <t xml:space="preserve">Sesión 4 · Flujo de caja libre e indicadores de la nueva línea de tostado</t>
  </si>
  <si>
    <t xml:space="preserve">Cifras en pesos. Celdas amarillas = supuestos del proyecto</t>
  </si>
  <si>
    <t xml:space="preserve">Supuestos</t>
  </si>
  <si>
    <t xml:space="preserve">Ventas año 1</t>
  </si>
  <si>
    <t xml:space="preserve">Crecimiento anual de ventas</t>
  </si>
  <si>
    <t xml:space="preserve">Costo variable (% de ventas)</t>
  </si>
  <si>
    <t xml:space="preserve">Costos fijos año 1</t>
  </si>
  <si>
    <t xml:space="preserve">Crecimiento anual de costos fijos</t>
  </si>
  <si>
    <t xml:space="preserve">Inversión en equipo y adecuaciones</t>
  </si>
  <si>
    <t xml:space="preserve">Vida útil fiscal (años)</t>
  </si>
  <si>
    <t xml:space="preserve">Capital de trabajo</t>
  </si>
  <si>
    <t xml:space="preserve">Valor de venta del equipo en el año 5</t>
  </si>
  <si>
    <t xml:space="preserve">Tarifa de renta</t>
  </si>
  <si>
    <t xml:space="preserve">Año 0</t>
  </si>
  <si>
    <t xml:space="preserve">Año 1</t>
  </si>
  <si>
    <t xml:space="preserve">Año 2</t>
  </si>
  <si>
    <t xml:space="preserve">Año 3</t>
  </si>
  <si>
    <t xml:space="preserve">Año 4</t>
  </si>
  <si>
    <t xml:space="preserve">Año 5</t>
  </si>
  <si>
    <t xml:space="preserve">Ventas</t>
  </si>
  <si>
    <t xml:space="preserve">(−) Costos variables</t>
  </si>
  <si>
    <t xml:space="preserve">(−) Costos fijos</t>
  </si>
  <si>
    <t xml:space="preserve">(−) Depreciación</t>
  </si>
  <si>
    <t xml:space="preserve">= Utilidad operativa (EBIT)</t>
  </si>
  <si>
    <t xml:space="preserve">(−) Impuesto operativo</t>
  </si>
  <si>
    <t xml:space="preserve">= UODI</t>
  </si>
  <si>
    <t xml:space="preserve">(+) Depreciación</t>
  </si>
  <si>
    <t xml:space="preserve">(−) Inversión en equipo</t>
  </si>
  <si>
    <t xml:space="preserve">(−/+) Capital de trabajo</t>
  </si>
  <si>
    <t xml:space="preserve">(+) Venta del equipo neta de impuestos</t>
  </si>
  <si>
    <t xml:space="preserve">= Flujo de caja libre</t>
  </si>
  <si>
    <t xml:space="preserve">Flujo descontado</t>
  </si>
  <si>
    <t xml:space="preserve">Flujo descontado acumulado</t>
  </si>
  <si>
    <t xml:space="preserve">Indicadores</t>
  </si>
  <si>
    <t xml:space="preserve">Valor presente neto (VPN)</t>
  </si>
  <si>
    <t xml:space="preserve">=VNA(WACC;flujos 1 a 5) + flujo 0</t>
  </si>
  <si>
    <t xml:space="preserve">Tasa interna de retorno (TIR)</t>
  </si>
  <si>
    <t xml:space="preserve">=TIR(flujos 0 a 5)</t>
  </si>
  <si>
    <t xml:space="preserve">TIR modificada (TIRM)</t>
  </si>
  <si>
    <t xml:space="preserve">=TIRM(flujos;WACC;WACC)</t>
  </si>
  <si>
    <t xml:space="preserve">Relación beneficio/costo</t>
  </si>
  <si>
    <t xml:space="preserve">VP de flujos 1 a 5 / inversión</t>
  </si>
  <si>
    <t xml:space="preserve">Periodo de recuperación descontado (años)</t>
  </si>
  <si>
    <t xml:space="preserve">Interpolación en el año de recuperación</t>
  </si>
  <si>
    <t xml:space="preserve">Decisión</t>
  </si>
  <si>
    <t xml:space="preserve">Valor económico agregado (EVA)</t>
  </si>
  <si>
    <t xml:space="preserve">UODI</t>
  </si>
  <si>
    <t xml:space="preserve">Capital invertido al inicio del año</t>
  </si>
  <si>
    <t xml:space="preserve">Cargo de capital (WACC × capital)</t>
  </si>
  <si>
    <t xml:space="preserve">EVA</t>
  </si>
  <si>
    <t xml:space="preserve">VP de los EVA</t>
  </si>
  <si>
    <t xml:space="preserve">VP de la ganancia neta en la venta del equipo</t>
  </si>
  <si>
    <t xml:space="preserve">VP de los EVA + VP de la ganancia = VPN</t>
  </si>
  <si>
    <t xml:space="preserve">Coincide con el VPN: EVA y VPN miden lo mismo</t>
  </si>
  <si>
    <t xml:space="preserve">Sesión 4 · Proyectos mutuamente excluyentes: VPN vs. TIR</t>
  </si>
  <si>
    <t xml:space="preserve">Millones de pesos</t>
  </si>
  <si>
    <t xml:space="preserve">Proyecto</t>
  </si>
  <si>
    <t xml:space="preserve">VPN al WACC</t>
  </si>
  <si>
    <t xml:space="preserve">TIR</t>
  </si>
  <si>
    <t xml:space="preserve">X (ampliación pequeña)</t>
  </si>
  <si>
    <t xml:space="preserve">Y (planta nueva)</t>
  </si>
  <si>
    <t xml:space="preserve">Incremental (Y − X)</t>
  </si>
  <si>
    <t xml:space="preserve">La TIR del flujo incremental es la tasa de Fisher: por debajo de ella, Y crea más valor que X.</t>
  </si>
  <si>
    <t xml:space="preserve">Perfil del VPN</t>
  </si>
  <si>
    <t xml:space="preserve">Tasa de descuento</t>
  </si>
  <si>
    <t xml:space="preserve">VPN X</t>
  </si>
  <si>
    <t xml:space="preserve">VPN Y</t>
  </si>
  <si>
    <t xml:space="preserve">Sesión 4 · Sensibilidad del proyecto</t>
  </si>
  <si>
    <t xml:space="preserve">Cada columna es un escenario; modifique los supuestos en amarillo</t>
  </si>
  <si>
    <t xml:space="preserve">Base</t>
  </si>
  <si>
    <t xml:space="preserve">Ventas −10 %</t>
  </si>
  <si>
    <t xml:space="preserve">Costo variable 62 %</t>
  </si>
  <si>
    <t xml:space="preserve">Crecimiento 3 %</t>
  </si>
  <si>
    <t xml:space="preserve">WACC + 3 p.p.</t>
  </si>
  <si>
    <t xml:space="preserve">Crecimiento de ventas</t>
  </si>
  <si>
    <t xml:space="preserve">Costo variable (%)</t>
  </si>
  <si>
    <t xml:space="preserve">Ajuste al WACC</t>
  </si>
  <si>
    <t xml:space="preserve">WACC del escenario</t>
  </si>
  <si>
    <t xml:space="preserve">Flujo año 0</t>
  </si>
  <si>
    <t xml:space="preserve">Flujo año 1</t>
  </si>
  <si>
    <t xml:space="preserve">Flujo año 2</t>
  </si>
  <si>
    <t xml:space="preserve">Flujo año 3</t>
  </si>
  <si>
    <t xml:space="preserve">Flujo año 4</t>
  </si>
  <si>
    <t xml:space="preserve">Flujo año 5</t>
  </si>
  <si>
    <t xml:space="preserve">VPN</t>
  </si>
  <si>
    <t xml:space="preserve">Variación del VPN frente al escenario base</t>
  </si>
  <si>
    <t xml:space="preserve">Ejercicio: use Datos &gt; Análisis de hipótesis &gt; Buscar objetivo sobre la celda VPN del escenario Base para hallar las ventas del año 1 que hacen VPN = 0 (≈ $722 millones).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</si>
</sst>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[RED]&quot;-$&quot;#,##0;\-"/>
    <numFmt numFmtId="166" formatCode="0.00%"/>
    <numFmt numFmtId="167" formatCode="0"/>
    <numFmt numFmtId="168" formatCode="0.0000%"/>
    <numFmt numFmtId="169" formatCode="0.00"/>
    <numFmt numFmtId="170" formatCode="#,##0.0;[RED]\-#,##0.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C55A11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C55A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BE5D6"/>
      </patternFill>
    </fill>
    <fill>
      <patternFill patternType="solid">
        <fgColor rgb="FFFBE5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78787"/>
      <rgbColor rgb="FF9999FF"/>
      <rgbColor rgb="FFBE4B48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5D6"/>
      <rgbColor rgb="FF2E75B6"/>
      <rgbColor rgb="FF33CCCC"/>
      <rgbColor rgb="FF99CC00"/>
      <rgbColor rgb="FFFFCC00"/>
      <rgbColor rgb="FFFF9900"/>
      <rgbColor rgb="FFC55A11"/>
      <rgbColor rgb="FF595959"/>
      <rgbColor rgb="FF4F81BD"/>
      <rgbColor rgb="FF1F3864"/>
      <rgbColor rgb="FF4A7EBB"/>
      <rgbColor rgb="FF003300"/>
      <rgbColor rgb="FF333300"/>
      <rgbColor rgb="FF993300"/>
      <rgbColor rgb="FF7030A0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Composición de la cuota fija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S3_Cuota_fija!G4</c:f>
              <c:strCache>
                <c:ptCount val="1"/>
                <c:pt idx="0">
                  <c:v>Intereses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S3_Cuota_fija!$D$5:$D$40</c:f>
              <c:strCach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strCache>
            </c:strRef>
          </c:cat>
          <c:val>
            <c:numRef>
              <c:f>S3_Cuota_fija!$G$5:$G$40</c:f>
              <c:numCache>
                <c:formatCode>\$#,##0;[RED]"-$"#,##0;\-</c:formatCode>
                <c:ptCount val="36"/>
                <c:pt idx="0">
                  <c:v>3548969.85757409</c:v>
                </c:pt>
                <c:pt idx="1">
                  <c:v>3477702.12667336</c:v>
                </c:pt>
                <c:pt idx="2">
                  <c:v>3405169.76064469</c:v>
                </c:pt>
                <c:pt idx="3">
                  <c:v>3331350.31881933</c:v>
                </c:pt>
                <c:pt idx="4">
                  <c:v>3256220.96197921</c:v>
                </c:pt>
                <c:pt idx="5">
                  <c:v>3179758.44614623</c:v>
                </c:pt>
                <c:pt idx="6">
                  <c:v>3101939.11441969</c:v>
                </c:pt>
                <c:pt idx="7">
                  <c:v>3022738.89041062</c:v>
                </c:pt>
                <c:pt idx="8">
                  <c:v>2942133.27043407</c:v>
                </c:pt>
                <c:pt idx="9">
                  <c:v>2860097.31587888</c:v>
                </c:pt>
                <c:pt idx="10">
                  <c:v>2776605.6455773</c:v>
                </c:pt>
                <c:pt idx="11">
                  <c:v>2691632.42817477</c:v>
                </c:pt>
                <c:pt idx="12">
                  <c:v>2605151.37378984</c:v>
                </c:pt>
                <c:pt idx="13">
                  <c:v>2517135.7262064</c:v>
                </c:pt>
                <c:pt idx="14">
                  <c:v>2427558.25417874</c:v>
                </c:pt>
                <c:pt idx="15">
                  <c:v>2336391.24344634</c:v>
                </c:pt>
                <c:pt idx="16">
                  <c:v>2243606.48786147</c:v>
                </c:pt>
                <c:pt idx="17">
                  <c:v>2149175.28069418</c:v>
                </c:pt>
                <c:pt idx="18">
                  <c:v>2053068.40611482</c:v>
                </c:pt>
                <c:pt idx="19">
                  <c:v>1955256.12943433</c:v>
                </c:pt>
                <c:pt idx="20">
                  <c:v>1855708.18876419</c:v>
                </c:pt>
                <c:pt idx="21">
                  <c:v>1754393.78472438</c:v>
                </c:pt>
                <c:pt idx="22">
                  <c:v>1651281.57192589</c:v>
                </c:pt>
                <c:pt idx="23">
                  <c:v>1546339.6485012</c:v>
                </c:pt>
                <c:pt idx="24">
                  <c:v>1439535.54634468</c:v>
                </c:pt>
                <c:pt idx="25">
                  <c:v>1330836.22153034</c:v>
                </c:pt>
                <c:pt idx="26">
                  <c:v>1220208.0436649</c:v>
                </c:pt>
                <c:pt idx="27">
                  <c:v>1107616.78541837</c:v>
                </c:pt>
                <c:pt idx="28">
                  <c:v>993027.612232012</c:v>
                </c:pt>
                <c:pt idx="29">
                  <c:v>876405.071493981</c:v>
                </c:pt>
                <c:pt idx="30">
                  <c:v>757713.08136008</c:v>
                </c:pt>
                <c:pt idx="31">
                  <c:v>636914.919751952</c:v>
                </c:pt>
                <c:pt idx="32">
                  <c:v>513973.213000371</c:v>
                </c:pt>
                <c:pt idx="33">
                  <c:v>388849.924133648</c:v>
                </c:pt>
                <c:pt idx="34">
                  <c:v>261506.341343472</c:v>
                </c:pt>
                <c:pt idx="35">
                  <c:v>131903.065918419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S3_Cuota_fija!H4</c:f>
              <c:strCache>
                <c:ptCount val="1"/>
                <c:pt idx="0">
                  <c:v>Abono a capital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S3_Cuota_fija!$D$5:$D$40</c:f>
              <c:strCach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strCache>
            </c:strRef>
          </c:cat>
          <c:val>
            <c:numRef>
              <c:f>S3_Cuota_fija!$H$5:$H$40</c:f>
              <c:numCache>
                <c:formatCode>\$#,##0;[RED]"-$"#,##0;\-</c:formatCode>
                <c:ptCount val="36"/>
                <c:pt idx="0">
                  <c:v>4016248.86647272</c:v>
                </c:pt>
                <c:pt idx="1">
                  <c:v>4087516.59737345</c:v>
                </c:pt>
                <c:pt idx="2">
                  <c:v>4160048.96340212</c:v>
                </c:pt>
                <c:pt idx="3">
                  <c:v>4233868.40522748</c:v>
                </c:pt>
                <c:pt idx="4">
                  <c:v>4308997.76206761</c:v>
                </c:pt>
                <c:pt idx="5">
                  <c:v>4385460.27790058</c:v>
                </c:pt>
                <c:pt idx="6">
                  <c:v>4463279.60962712</c:v>
                </c:pt>
                <c:pt idx="7">
                  <c:v>4542479.8336362</c:v>
                </c:pt>
                <c:pt idx="8">
                  <c:v>4623085.45361274</c:v>
                </c:pt>
                <c:pt idx="9">
                  <c:v>4705121.40816793</c:v>
                </c:pt>
                <c:pt idx="10">
                  <c:v>4788613.07846952</c:v>
                </c:pt>
                <c:pt idx="11">
                  <c:v>4873586.29587204</c:v>
                </c:pt>
                <c:pt idx="12">
                  <c:v>4960067.35025697</c:v>
                </c:pt>
                <c:pt idx="13">
                  <c:v>5048082.99784041</c:v>
                </c:pt>
                <c:pt idx="14">
                  <c:v>5137660.46986807</c:v>
                </c:pt>
                <c:pt idx="15">
                  <c:v>5228827.48060047</c:v>
                </c:pt>
                <c:pt idx="16">
                  <c:v>5321612.23618535</c:v>
                </c:pt>
                <c:pt idx="17">
                  <c:v>5416043.44335263</c:v>
                </c:pt>
                <c:pt idx="18">
                  <c:v>5512150.31793199</c:v>
                </c:pt>
                <c:pt idx="19">
                  <c:v>5609962.59461248</c:v>
                </c:pt>
                <c:pt idx="20">
                  <c:v>5709510.53528262</c:v>
                </c:pt>
                <c:pt idx="21">
                  <c:v>5810824.93932243</c:v>
                </c:pt>
                <c:pt idx="22">
                  <c:v>5913937.15212093</c:v>
                </c:pt>
                <c:pt idx="23">
                  <c:v>6018879.07554562</c:v>
                </c:pt>
                <c:pt idx="24">
                  <c:v>6125683.17770213</c:v>
                </c:pt>
                <c:pt idx="25">
                  <c:v>6234382.50251647</c:v>
                </c:pt>
                <c:pt idx="26">
                  <c:v>6345010.68038191</c:v>
                </c:pt>
                <c:pt idx="27">
                  <c:v>6457601.93862844</c:v>
                </c:pt>
                <c:pt idx="28">
                  <c:v>6572191.1118148</c:v>
                </c:pt>
                <c:pt idx="29">
                  <c:v>6688813.65255283</c:v>
                </c:pt>
                <c:pt idx="30">
                  <c:v>6807505.64268673</c:v>
                </c:pt>
                <c:pt idx="31">
                  <c:v>6928303.80429486</c:v>
                </c:pt>
                <c:pt idx="32">
                  <c:v>7051245.51104644</c:v>
                </c:pt>
                <c:pt idx="33">
                  <c:v>7176368.79991316</c:v>
                </c:pt>
                <c:pt idx="34">
                  <c:v>7303712.38270334</c:v>
                </c:pt>
                <c:pt idx="35">
                  <c:v>7433315.65812839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87815"/>
        <c:axId val="171064"/>
      </c:lineChart>
      <c:catAx>
        <c:axId val="68781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1064"/>
        <c:crosses val="autoZero"/>
        <c:auto val="1"/>
        <c:lblAlgn val="ctr"/>
        <c:lblOffset val="100"/>
        <c:noMultiLvlLbl val="0"/>
      </c:catAx>
      <c:valAx>
        <c:axId val="1710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[RED]&quot;-$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781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de intereses por sistema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S3_Sistemas!D11</c:f>
              <c:strCache>
                <c:ptCount val="1"/>
                <c:pt idx="0">
                  <c:v>Total intereses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S3_Sistemas!$A$12:$A$16</c:f>
              <c:strCache>
                <c:ptCount val="5"/>
                <c:pt idx="0">
                  <c:v>Cuota fija (francés)</c:v>
                </c:pt>
                <c:pt idx="1">
                  <c:v>Abono constante a capital</c:v>
                </c:pt>
                <c:pt idx="2">
                  <c:v>Cuota creciente</c:v>
                </c:pt>
                <c:pt idx="3">
                  <c:v>Gracia con pago de intereses</c:v>
                </c:pt>
                <c:pt idx="4">
                  <c:v>Gracia muerta (capitaliza)</c:v>
                </c:pt>
              </c:strCache>
            </c:strRef>
          </c:cat>
          <c:val>
            <c:numRef>
              <c:f>S3_Sistemas!$D$12:$D$16</c:f>
              <c:numCache>
                <c:formatCode>\$#,##0;[RED]"-$"#,##0;\-</c:formatCode>
                <c:ptCount val="5"/>
                <c:pt idx="0">
                  <c:v>72347874.0585662</c:v>
                </c:pt>
                <c:pt idx="1">
                  <c:v>65655942.3651207</c:v>
                </c:pt>
                <c:pt idx="2">
                  <c:v>77524288.4980253</c:v>
                </c:pt>
                <c:pt idx="3">
                  <c:v>80957844.3826523</c:v>
                </c:pt>
                <c:pt idx="4">
                  <c:v>88566069.406905</c:v>
                </c:pt>
              </c:numCache>
            </c:numRef>
          </c:val>
        </c:ser>
        <c:gapWidth val="150"/>
        <c:overlap val="0"/>
        <c:axId val="85522140"/>
        <c:axId val="77504174"/>
      </c:barChart>
      <c:catAx>
        <c:axId val="855221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504174"/>
        <c:crosses val="autoZero"/>
        <c:auto val="1"/>
        <c:lblAlgn val="ctr"/>
        <c:lblOffset val="100"/>
        <c:noMultiLvlLbl val="0"/>
      </c:catAx>
      <c:valAx>
        <c:axId val="775041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[RED]&quot;-$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52214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Perfil del VPN (millones 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S4_Excluyentes!B11</c:f>
              <c:strCache>
                <c:ptCount val="1"/>
                <c:pt idx="0">
                  <c:v>VPN X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S4_Excluyentes!$A$12:$A$19</c:f>
              <c:strCache>
                <c:ptCount val="8"/>
                <c:pt idx="0">
                  <c:v>0.00%</c:v>
                </c:pt>
                <c:pt idx="1">
                  <c:v>5.00%</c:v>
                </c:pt>
                <c:pt idx="2">
                  <c:v>10.00%</c:v>
                </c:pt>
                <c:pt idx="3">
                  <c:v>15.00%</c:v>
                </c:pt>
                <c:pt idx="4">
                  <c:v>20.00%</c:v>
                </c:pt>
                <c:pt idx="5">
                  <c:v>25.00%</c:v>
                </c:pt>
                <c:pt idx="6">
                  <c:v>30.00%</c:v>
                </c:pt>
                <c:pt idx="7">
                  <c:v>35.00%</c:v>
                </c:pt>
              </c:strCache>
            </c:strRef>
          </c:cat>
          <c:val>
            <c:numRef>
              <c:f>S4_Excluyentes!$B$12:$B$19</c:f>
              <c:numCache>
                <c:formatCode>#,##0.0;[RED]\-#,##0.0;\-</c:formatCode>
                <c:ptCount val="8"/>
                <c:pt idx="0">
                  <c:v>60</c:v>
                </c:pt>
                <c:pt idx="1">
                  <c:v>46.1181297915992</c:v>
                </c:pt>
                <c:pt idx="2">
                  <c:v>34.1848234410218</c:v>
                </c:pt>
                <c:pt idx="3">
                  <c:v>23.843182378565</c:v>
                </c:pt>
                <c:pt idx="4">
                  <c:v>14.8148148148148</c:v>
                </c:pt>
                <c:pt idx="5">
                  <c:v>6.88</c:v>
                </c:pt>
                <c:pt idx="6">
                  <c:v>-0.136549840691856</c:v>
                </c:pt>
                <c:pt idx="7">
                  <c:v>-6.37606055987401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S4_Excluyentes!C11</c:f>
              <c:strCache>
                <c:ptCount val="1"/>
                <c:pt idx="0">
                  <c:v>VPN Y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S4_Excluyentes!$A$12:$A$19</c:f>
              <c:strCache>
                <c:ptCount val="8"/>
                <c:pt idx="0">
                  <c:v>0.00%</c:v>
                </c:pt>
                <c:pt idx="1">
                  <c:v>5.00%</c:v>
                </c:pt>
                <c:pt idx="2">
                  <c:v>10.00%</c:v>
                </c:pt>
                <c:pt idx="3">
                  <c:v>15.00%</c:v>
                </c:pt>
                <c:pt idx="4">
                  <c:v>20.00%</c:v>
                </c:pt>
                <c:pt idx="5">
                  <c:v>25.00%</c:v>
                </c:pt>
                <c:pt idx="6">
                  <c:v>30.00%</c:v>
                </c:pt>
                <c:pt idx="7">
                  <c:v>35.00%</c:v>
                </c:pt>
              </c:strCache>
            </c:strRef>
          </c:cat>
          <c:val>
            <c:numRef>
              <c:f>S4_Excluyentes!$C$12:$C$19</c:f>
              <c:numCache>
                <c:formatCode>#,##0.0;[RED]\-#,##0.0;\-</c:formatCode>
                <c:ptCount val="8"/>
                <c:pt idx="0">
                  <c:v>180</c:v>
                </c:pt>
                <c:pt idx="1">
                  <c:v>133.948817622287</c:v>
                </c:pt>
                <c:pt idx="2">
                  <c:v>94.7407963936889</c:v>
                </c:pt>
                <c:pt idx="3">
                  <c:v>61.0750390400264</c:v>
                </c:pt>
                <c:pt idx="4">
                  <c:v>31.9444444444445</c:v>
                </c:pt>
                <c:pt idx="5">
                  <c:v>6.56</c:v>
                </c:pt>
                <c:pt idx="6">
                  <c:v>-15.703231679563</c:v>
                </c:pt>
                <c:pt idx="7">
                  <c:v>-35.3452217649749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3922034"/>
        <c:axId val="68129971"/>
      </c:lineChart>
      <c:catAx>
        <c:axId val="739220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Tasa de descuento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129971"/>
        <c:crosses val="autoZero"/>
        <c:auto val="1"/>
        <c:lblAlgn val="ctr"/>
        <c:lblOffset val="100"/>
        <c:noMultiLvlLbl val="0"/>
      </c:catAx>
      <c:valAx>
        <c:axId val="681299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VPN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;[RED]\-#,##0.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9220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VPN por escenario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S4_Sensibilidad!$B$4:$F$4</c:f>
              <c:strCache>
                <c:ptCount val="5"/>
                <c:pt idx="0">
                  <c:v>Base</c:v>
                </c:pt>
                <c:pt idx="1">
                  <c:v>Ventas −10 %</c:v>
                </c:pt>
                <c:pt idx="2">
                  <c:v>Costo variable 62 %</c:v>
                </c:pt>
                <c:pt idx="3">
                  <c:v>Crecimiento 3 %</c:v>
                </c:pt>
                <c:pt idx="4">
                  <c:v>WACC + 3 p.p.</c:v>
                </c:pt>
              </c:strCache>
            </c:strRef>
          </c:cat>
          <c:val>
            <c:numRef>
              <c:f>S4_Sensibilidad!$B$17:$F$17</c:f>
              <c:numCache>
                <c:formatCode>\$#,##0;[RED]"-$"#,##0;\-</c:formatCode>
                <c:ptCount val="5"/>
                <c:pt idx="0">
                  <c:v>115882623.277993</c:v>
                </c:pt>
                <c:pt idx="1">
                  <c:v>38807586.6933422</c:v>
                </c:pt>
                <c:pt idx="2">
                  <c:v>42477826.5307063</c:v>
                </c:pt>
                <c:pt idx="3">
                  <c:v>66793605.1923919</c:v>
                </c:pt>
                <c:pt idx="4">
                  <c:v>73352622.5665105</c:v>
                </c:pt>
              </c:numCache>
            </c:numRef>
          </c:val>
        </c:ser>
        <c:gapWidth val="150"/>
        <c:overlap val="0"/>
        <c:axId val="3194838"/>
        <c:axId val="34684444"/>
      </c:barChart>
      <c:catAx>
        <c:axId val="31948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684444"/>
        <c:crosses val="autoZero"/>
        <c:auto val="1"/>
        <c:lblAlgn val="ctr"/>
        <c:lblOffset val="100"/>
        <c:noMultiLvlLbl val="0"/>
      </c:catAx>
      <c:valAx>
        <c:axId val="3468444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[RED]&quot;-$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48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160920</xdr:rowOff>
    </xdr:from>
    <xdr:to>
      <xdr:col>1</xdr:col>
      <xdr:colOff>1203120</xdr:colOff>
      <xdr:row>28</xdr:row>
      <xdr:rowOff>13320</xdr:rowOff>
    </xdr:to>
    <xdr:graphicFrame>
      <xdr:nvGraphicFramePr>
        <xdr:cNvPr id="0" name="Chart 1"/>
        <xdr:cNvGraphicFramePr/>
      </xdr:nvGraphicFramePr>
      <xdr:xfrm>
        <a:off x="0" y="2857680"/>
        <a:ext cx="35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160560</xdr:rowOff>
    </xdr:from>
    <xdr:to>
      <xdr:col>2</xdr:col>
      <xdr:colOff>951480</xdr:colOff>
      <xdr:row>36</xdr:row>
      <xdr:rowOff>13320</xdr:rowOff>
    </xdr:to>
    <xdr:graphicFrame>
      <xdr:nvGraphicFramePr>
        <xdr:cNvPr id="1" name="Chart 1"/>
        <xdr:cNvGraphicFramePr/>
      </xdr:nvGraphicFramePr>
      <xdr:xfrm>
        <a:off x="0" y="438156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12</xdr:row>
      <xdr:rowOff>160560</xdr:rowOff>
    </xdr:from>
    <xdr:to>
      <xdr:col>10</xdr:col>
      <xdr:colOff>604800</xdr:colOff>
      <xdr:row>27</xdr:row>
      <xdr:rowOff>182880</xdr:rowOff>
    </xdr:to>
    <xdr:graphicFrame>
      <xdr:nvGraphicFramePr>
        <xdr:cNvPr id="2" name="Chart 1"/>
        <xdr:cNvGraphicFramePr/>
      </xdr:nvGraphicFramePr>
      <xdr:xfrm>
        <a:off x="4651920" y="247644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48240</xdr:rowOff>
    </xdr:from>
    <xdr:to>
      <xdr:col>3</xdr:col>
      <xdr:colOff>246600</xdr:colOff>
      <xdr:row>34</xdr:row>
      <xdr:rowOff>91440</xdr:rowOff>
    </xdr:to>
    <xdr:graphicFrame>
      <xdr:nvGraphicFramePr>
        <xdr:cNvPr id="3" name="Chart 1"/>
        <xdr:cNvGraphicFramePr/>
      </xdr:nvGraphicFramePr>
      <xdr:xfrm>
        <a:off x="0" y="41911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</row>
    <row r="6" customFormat="false" ht="15" hidden="false" customHeight="false" outlineLevel="0" collapsed="false">
      <c r="A6" s="4" t="s">
        <v>3</v>
      </c>
      <c r="B6" s="4" t="s">
        <v>5</v>
      </c>
    </row>
    <row r="7" customFormat="false" ht="15" hidden="false" customHeight="false" outlineLevel="0" collapsed="false">
      <c r="A7" s="4" t="s">
        <v>3</v>
      </c>
      <c r="B7" s="4" t="s">
        <v>6</v>
      </c>
    </row>
    <row r="8" customFormat="false" ht="15" hidden="false" customHeight="false" outlineLevel="0" collapsed="false">
      <c r="A8" s="4" t="s">
        <v>3</v>
      </c>
      <c r="B8" s="4" t="s">
        <v>7</v>
      </c>
    </row>
    <row r="9" customFormat="false" ht="15" hidden="false" customHeight="false" outlineLevel="0" collapsed="false">
      <c r="A9" s="4" t="s">
        <v>3</v>
      </c>
      <c r="B9" s="4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5" t="s">
        <v>10</v>
      </c>
      <c r="B12" s="5" t="s">
        <v>11</v>
      </c>
    </row>
    <row r="13" customFormat="false" ht="23.85" hidden="false" customHeight="false" outlineLevel="0" collapsed="false">
      <c r="A13" s="6" t="s">
        <v>12</v>
      </c>
      <c r="B13" s="7" t="s">
        <v>13</v>
      </c>
    </row>
    <row r="14" customFormat="false" ht="15" hidden="false" customHeight="false" outlineLevel="0" collapsed="false">
      <c r="A14" s="6" t="s">
        <v>14</v>
      </c>
      <c r="B14" s="7" t="s">
        <v>15</v>
      </c>
    </row>
    <row r="15" customFormat="false" ht="15" hidden="false" customHeight="false" outlineLevel="0" collapsed="false">
      <c r="A15" s="6" t="s">
        <v>16</v>
      </c>
      <c r="B15" s="7" t="s">
        <v>17</v>
      </c>
    </row>
    <row r="16" customFormat="false" ht="15" hidden="false" customHeight="false" outlineLevel="0" collapsed="false">
      <c r="A16" s="6" t="s">
        <v>18</v>
      </c>
      <c r="B16" s="7" t="s">
        <v>19</v>
      </c>
    </row>
    <row r="17" customFormat="false" ht="23.85" hidden="false" customHeight="false" outlineLevel="0" collapsed="false">
      <c r="A17" s="6" t="s">
        <v>20</v>
      </c>
      <c r="B17" s="7" t="s">
        <v>21</v>
      </c>
    </row>
    <row r="18" customFormat="false" ht="15" hidden="false" customHeight="false" outlineLevel="0" collapsed="false">
      <c r="A18" s="6" t="s">
        <v>22</v>
      </c>
      <c r="B18" s="7" t="s">
        <v>23</v>
      </c>
    </row>
    <row r="19" customFormat="false" ht="15" hidden="false" customHeight="false" outlineLevel="0" collapsed="false">
      <c r="A19" s="6" t="s">
        <v>24</v>
      </c>
      <c r="B19" s="7" t="s">
        <v>25</v>
      </c>
    </row>
    <row r="20" customFormat="false" ht="15" hidden="false" customHeight="false" outlineLevel="0" collapsed="false">
      <c r="A20" s="6" t="s">
        <v>26</v>
      </c>
      <c r="B20" s="7" t="s">
        <v>27</v>
      </c>
    </row>
    <row r="21" customFormat="false" ht="15" hidden="false" customHeight="false" outlineLevel="0" collapsed="false">
      <c r="A21" s="6" t="s">
        <v>28</v>
      </c>
      <c r="B21" s="7" t="s">
        <v>29</v>
      </c>
    </row>
    <row r="22" customFormat="false" ht="15" hidden="false" customHeight="false" outlineLevel="0" collapsed="false">
      <c r="A22" s="6" t="s">
        <v>30</v>
      </c>
      <c r="B22" s="7" t="s">
        <v>31</v>
      </c>
    </row>
    <row r="24" customFormat="false" ht="15" hidden="false" customHeight="false" outlineLevel="0" collapsed="false">
      <c r="A24" s="3" t="s">
        <v>32</v>
      </c>
    </row>
    <row r="25" customFormat="false" ht="15" hidden="false" customHeight="false" outlineLevel="0" collapsed="false">
      <c r="A25" s="8" t="s">
        <v>33</v>
      </c>
    </row>
    <row r="26" customFormat="false" ht="15" hidden="false" customHeight="false" outlineLevel="0" collapsed="false">
      <c r="A26" s="9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5" min="2" style="0" width="18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15" hidden="false" customHeight="false" outlineLevel="0" collapsed="false">
      <c r="A4" s="3" t="s">
        <v>37</v>
      </c>
    </row>
    <row r="5" customFormat="false" ht="15" hidden="false" customHeight="false" outlineLevel="0" collapsed="false">
      <c r="A5" s="10" t="s">
        <v>38</v>
      </c>
      <c r="B5" s="11" t="n">
        <v>10000000</v>
      </c>
    </row>
    <row r="6" customFormat="false" ht="15" hidden="false" customHeight="false" outlineLevel="0" collapsed="false">
      <c r="A6" s="10" t="s">
        <v>39</v>
      </c>
      <c r="B6" s="12" t="n">
        <v>0.015</v>
      </c>
    </row>
    <row r="7" customFormat="false" ht="15" hidden="false" customHeight="false" outlineLevel="0" collapsed="false">
      <c r="A7" s="10" t="s">
        <v>40</v>
      </c>
      <c r="B7" s="13" t="n">
        <v>12</v>
      </c>
    </row>
    <row r="8" customFormat="false" ht="15" hidden="false" customHeight="false" outlineLevel="0" collapsed="false">
      <c r="A8" s="10" t="s">
        <v>41</v>
      </c>
      <c r="B8" s="14" t="n">
        <f aca="false">B5*(1+B6*B7)</f>
        <v>11800000</v>
      </c>
      <c r="C8" s="2" t="s">
        <v>42</v>
      </c>
    </row>
    <row r="9" customFormat="false" ht="15" hidden="false" customHeight="false" outlineLevel="0" collapsed="false">
      <c r="A9" s="10" t="s">
        <v>43</v>
      </c>
      <c r="B9" s="14" t="n">
        <f aca="false">B5*(1+B6)^B7</f>
        <v>11956181.7146153</v>
      </c>
      <c r="C9" s="2" t="s">
        <v>44</v>
      </c>
    </row>
    <row r="10" customFormat="false" ht="15" hidden="false" customHeight="false" outlineLevel="0" collapsed="false">
      <c r="A10" s="10" t="s">
        <v>45</v>
      </c>
      <c r="B10" s="15" t="n">
        <f aca="false">FV(B6,B7,0,-B5)</f>
        <v>11956181.7146153</v>
      </c>
      <c r="C10" s="2" t="s">
        <v>46</v>
      </c>
    </row>
    <row r="11" customFormat="false" ht="15" hidden="false" customHeight="false" outlineLevel="0" collapsed="false">
      <c r="A11" s="10" t="s">
        <v>47</v>
      </c>
      <c r="B11" s="15" t="n">
        <f aca="false">B9-B8</f>
        <v>156181.714615339</v>
      </c>
    </row>
    <row r="13" customFormat="false" ht="15" hidden="false" customHeight="false" outlineLevel="0" collapsed="false">
      <c r="A13" s="3" t="s">
        <v>48</v>
      </c>
    </row>
    <row r="14" customFormat="false" ht="23.85" hidden="false" customHeight="false" outlineLevel="0" collapsed="false">
      <c r="A14" s="5" t="s">
        <v>49</v>
      </c>
      <c r="B14" s="5" t="s">
        <v>50</v>
      </c>
      <c r="C14" s="5" t="s">
        <v>51</v>
      </c>
      <c r="D14" s="5" t="s">
        <v>52</v>
      </c>
      <c r="E14" s="5" t="s">
        <v>53</v>
      </c>
      <c r="F14" s="5" t="s">
        <v>54</v>
      </c>
    </row>
    <row r="15" customFormat="false" ht="15" hidden="false" customHeight="false" outlineLevel="0" collapsed="false">
      <c r="A15" s="10" t="s">
        <v>55</v>
      </c>
      <c r="B15" s="12" t="n">
        <v>0.24</v>
      </c>
      <c r="C15" s="13" t="n">
        <v>12</v>
      </c>
      <c r="D15" s="16" t="n">
        <f aca="false">B15/C15</f>
        <v>0.02</v>
      </c>
      <c r="E15" s="17" t="n">
        <f aca="false">(1+D15)^C15-1</f>
        <v>0.268241794562546</v>
      </c>
      <c r="F15" s="10" t="s">
        <v>56</v>
      </c>
    </row>
    <row r="16" customFormat="false" ht="15" hidden="false" customHeight="false" outlineLevel="0" collapsed="false">
      <c r="A16" s="10" t="s">
        <v>57</v>
      </c>
      <c r="B16" s="12" t="n">
        <v>0.24</v>
      </c>
      <c r="C16" s="13" t="n">
        <v>4</v>
      </c>
      <c r="D16" s="16" t="n">
        <f aca="false">(B16/C16)/(1-B16/C16)</f>
        <v>0.0638297872340426</v>
      </c>
      <c r="E16" s="17" t="n">
        <f aca="false">(1+D16)^C16-1</f>
        <v>0.280821430745166</v>
      </c>
      <c r="F16" s="10" t="s">
        <v>58</v>
      </c>
    </row>
    <row r="17" customFormat="false" ht="15" hidden="false" customHeight="false" outlineLevel="0" collapsed="false">
      <c r="A17" s="10" t="s">
        <v>59</v>
      </c>
      <c r="E17" s="18" t="n">
        <f aca="false">EFFECT(B15,C15)</f>
        <v>0.268241794562546</v>
      </c>
    </row>
    <row r="18" customFormat="false" ht="15" hidden="false" customHeight="false" outlineLevel="0" collapsed="false">
      <c r="A18" s="10" t="s">
        <v>60</v>
      </c>
      <c r="E18" s="18" t="n">
        <f aca="false">NOMINAL(E15,12)</f>
        <v>0.24</v>
      </c>
    </row>
    <row r="20" customFormat="false" ht="15" hidden="false" customHeight="false" outlineLevel="0" collapsed="false">
      <c r="A20" s="3" t="s">
        <v>61</v>
      </c>
    </row>
    <row r="21" customFormat="false" ht="15" hidden="false" customHeight="false" outlineLevel="0" collapsed="false">
      <c r="A21" s="10" t="s">
        <v>62</v>
      </c>
      <c r="B21" s="12" t="n">
        <v>0.0925</v>
      </c>
      <c r="C21" s="2" t="s">
        <v>63</v>
      </c>
    </row>
    <row r="22" customFormat="false" ht="23.85" hidden="false" customHeight="false" outlineLevel="0" collapsed="false">
      <c r="A22" s="5" t="s">
        <v>64</v>
      </c>
      <c r="B22" s="5" t="s">
        <v>65</v>
      </c>
      <c r="C22" s="5" t="s">
        <v>51</v>
      </c>
      <c r="D22" s="5" t="s">
        <v>52</v>
      </c>
      <c r="E22" s="5" t="s">
        <v>53</v>
      </c>
      <c r="F22" s="5" t="s">
        <v>66</v>
      </c>
    </row>
    <row r="23" customFormat="false" ht="15" hidden="false" customHeight="false" outlineLevel="0" collapsed="false">
      <c r="A23" s="10" t="s">
        <v>67</v>
      </c>
      <c r="B23" s="12" t="n">
        <v>0.22</v>
      </c>
      <c r="C23" s="13" t="n">
        <v>12</v>
      </c>
      <c r="D23" s="16" t="n">
        <f aca="false">B23/C23</f>
        <v>0.0183333333333333</v>
      </c>
      <c r="E23" s="17" t="n">
        <f aca="false">(1+D23)^C23-1</f>
        <v>0.243596577944482</v>
      </c>
      <c r="F23" s="19" t="n">
        <f aca="false">RANK(E23,$E$23:$E$26,1)</f>
        <v>4</v>
      </c>
    </row>
    <row r="24" customFormat="false" ht="15" hidden="false" customHeight="false" outlineLevel="0" collapsed="false">
      <c r="A24" s="10" t="s">
        <v>68</v>
      </c>
      <c r="B24" s="12" t="n">
        <v>0.235</v>
      </c>
      <c r="C24" s="13" t="n">
        <v>1</v>
      </c>
      <c r="D24" s="16" t="n">
        <f aca="false">B24</f>
        <v>0.235</v>
      </c>
      <c r="E24" s="17" t="n">
        <f aca="false">B24</f>
        <v>0.235</v>
      </c>
      <c r="F24" s="19" t="n">
        <f aca="false">RANK(E24,$E$23:$E$26,1)</f>
        <v>2</v>
      </c>
    </row>
    <row r="25" customFormat="false" ht="15" hidden="false" customHeight="false" outlineLevel="0" collapsed="false">
      <c r="A25" s="10" t="s">
        <v>69</v>
      </c>
      <c r="B25" s="12" t="n">
        <v>0.21</v>
      </c>
      <c r="C25" s="13" t="n">
        <v>4</v>
      </c>
      <c r="D25" s="16" t="n">
        <f aca="false">(B25/C25)/(1-B25/C25)</f>
        <v>0.0554089709762533</v>
      </c>
      <c r="E25" s="17" t="n">
        <f aca="false">(1+D25)^C25-1</f>
        <v>0.24074669044872</v>
      </c>
      <c r="F25" s="19" t="n">
        <f aca="false">RANK(E25,$E$23:$E$26,1)</f>
        <v>3</v>
      </c>
    </row>
    <row r="26" customFormat="false" ht="15" hidden="false" customHeight="false" outlineLevel="0" collapsed="false">
      <c r="A26" s="10" t="s">
        <v>70</v>
      </c>
      <c r="B26" s="18" t="n">
        <f aca="false">B21+0.12</f>
        <v>0.2125</v>
      </c>
      <c r="C26" s="13" t="n">
        <v>12</v>
      </c>
      <c r="D26" s="16" t="n">
        <f aca="false">B26/C26</f>
        <v>0.0177083333333333</v>
      </c>
      <c r="E26" s="17" t="n">
        <f aca="false">(1+D26)^C26-1</f>
        <v>0.234468373956656</v>
      </c>
      <c r="F26" s="19" t="n">
        <f aca="false">RANK(E26,$E$23:$E$26,1)</f>
        <v>1</v>
      </c>
    </row>
    <row r="27" customFormat="false" ht="15" hidden="false" customHeight="false" outlineLevel="0" collapsed="false">
      <c r="A27" s="2" t="s">
        <v>71</v>
      </c>
    </row>
    <row r="29" customFormat="false" ht="15" hidden="false" customHeight="false" outlineLevel="0" collapsed="false">
      <c r="A29" s="3" t="s">
        <v>72</v>
      </c>
    </row>
    <row r="30" customFormat="false" ht="15" hidden="false" customHeight="false" outlineLevel="0" collapsed="false">
      <c r="A30" s="10" t="s">
        <v>73</v>
      </c>
      <c r="B30" s="18" t="n">
        <f aca="false">E24</f>
        <v>0.235</v>
      </c>
    </row>
    <row r="31" customFormat="false" ht="15" hidden="false" customHeight="false" outlineLevel="0" collapsed="false">
      <c r="A31" s="10" t="s">
        <v>74</v>
      </c>
      <c r="B31" s="12" t="n">
        <v>0.05</v>
      </c>
    </row>
    <row r="32" customFormat="false" ht="15" hidden="false" customHeight="false" outlineLevel="0" collapsed="false">
      <c r="A32" s="10" t="s">
        <v>75</v>
      </c>
      <c r="B32" s="20" t="n">
        <f aca="false">(1+B30)/(1+B31)-1</f>
        <v>0.176190476190476</v>
      </c>
      <c r="C32" s="2" t="s">
        <v>76</v>
      </c>
    </row>
    <row r="33" customFormat="false" ht="15" hidden="false" customHeight="false" outlineLevel="0" collapsed="false">
      <c r="A33" s="10" t="s">
        <v>77</v>
      </c>
      <c r="B33" s="18" t="n">
        <f aca="false">B30-B31</f>
        <v>0.185</v>
      </c>
      <c r="C33" s="2" t="s">
        <v>78</v>
      </c>
    </row>
    <row r="35" customFormat="false" ht="15" hidden="false" customHeight="false" outlineLevel="0" collapsed="false">
      <c r="A35" s="3" t="s">
        <v>79</v>
      </c>
    </row>
    <row r="36" customFormat="false" ht="15" hidden="false" customHeight="false" outlineLevel="0" collapsed="false">
      <c r="A36" s="10" t="s">
        <v>80</v>
      </c>
      <c r="B36" s="11" t="n">
        <v>30000000</v>
      </c>
    </row>
    <row r="37" customFormat="false" ht="15" hidden="false" customHeight="false" outlineLevel="0" collapsed="false">
      <c r="A37" s="10" t="s">
        <v>81</v>
      </c>
      <c r="B37" s="13" t="n">
        <v>3</v>
      </c>
    </row>
    <row r="38" customFormat="false" ht="15" hidden="false" customHeight="false" outlineLevel="0" collapsed="false">
      <c r="A38" s="10" t="s">
        <v>82</v>
      </c>
      <c r="B38" s="11" t="n">
        <v>50000000</v>
      </c>
    </row>
    <row r="39" customFormat="false" ht="15" hidden="false" customHeight="false" outlineLevel="0" collapsed="false">
      <c r="A39" s="10" t="s">
        <v>83</v>
      </c>
      <c r="B39" s="13" t="n">
        <v>8</v>
      </c>
    </row>
    <row r="40" customFormat="false" ht="15" hidden="false" customHeight="false" outlineLevel="0" collapsed="false">
      <c r="A40" s="10" t="s">
        <v>84</v>
      </c>
      <c r="B40" s="12" t="n">
        <v>0.02</v>
      </c>
    </row>
    <row r="41" customFormat="false" ht="15" hidden="false" customHeight="false" outlineLevel="0" collapsed="false">
      <c r="A41" s="10" t="s">
        <v>85</v>
      </c>
      <c r="B41" s="13" t="n">
        <v>6</v>
      </c>
    </row>
    <row r="42" customFormat="false" ht="15" hidden="false" customHeight="false" outlineLevel="0" collapsed="false">
      <c r="A42" s="10" t="s">
        <v>86</v>
      </c>
      <c r="B42" s="14" t="n">
        <f aca="false">B36*(1+B40)^(B41-B37)+B38*(1+B40)^(B41-B39)</f>
        <v>79894679.0618993</v>
      </c>
      <c r="C42" s="2" t="s">
        <v>87</v>
      </c>
    </row>
    <row r="43" customFormat="false" ht="15" hidden="false" customHeight="false" outlineLevel="0" collapsed="false">
      <c r="A43" s="10" t="s">
        <v>88</v>
      </c>
      <c r="B43" s="15" t="n">
        <f aca="false">(B36/(1+B40)^B37+B38/(1+B40)^B39)*(1+B40)^B41</f>
        <v>79894679.0618993</v>
      </c>
      <c r="C43" s="2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46"/>
  </cols>
  <sheetData>
    <row r="1" customFormat="false" ht="17.3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4" customFormat="false" ht="15" hidden="false" customHeight="false" outlineLevel="0" collapsed="false">
      <c r="A4" s="3" t="s">
        <v>92</v>
      </c>
    </row>
    <row r="5" customFormat="false" ht="15" hidden="false" customHeight="false" outlineLevel="0" collapsed="false">
      <c r="A5" s="10" t="s">
        <v>93</v>
      </c>
      <c r="B5" s="11" t="n">
        <v>180000000</v>
      </c>
    </row>
    <row r="6" customFormat="false" ht="15" hidden="false" customHeight="false" outlineLevel="0" collapsed="false">
      <c r="A6" s="10" t="s">
        <v>84</v>
      </c>
      <c r="B6" s="12" t="n">
        <v>0.016</v>
      </c>
    </row>
    <row r="7" customFormat="false" ht="15" hidden="false" customHeight="false" outlineLevel="0" collapsed="false">
      <c r="A7" s="10" t="s">
        <v>94</v>
      </c>
      <c r="B7" s="13" t="n">
        <v>36</v>
      </c>
    </row>
    <row r="8" customFormat="false" ht="15" hidden="false" customHeight="false" outlineLevel="0" collapsed="false">
      <c r="A8" s="10" t="s">
        <v>95</v>
      </c>
      <c r="B8" s="12" t="n">
        <v>0.1</v>
      </c>
    </row>
    <row r="9" customFormat="false" ht="15" hidden="false" customHeight="false" outlineLevel="0" collapsed="false">
      <c r="A9" s="10" t="s">
        <v>96</v>
      </c>
      <c r="B9" s="15" t="n">
        <f aca="false">B5*B8</f>
        <v>18000000</v>
      </c>
    </row>
    <row r="10" customFormat="false" ht="15" hidden="false" customHeight="false" outlineLevel="0" collapsed="false">
      <c r="A10" s="10" t="s">
        <v>97</v>
      </c>
      <c r="B10" s="14" t="n">
        <f aca="false">(B5-B9/(1+B6)^B7)*B6/(1-(1+B6)^-B7)</f>
        <v>6242669.34148822</v>
      </c>
      <c r="C10" s="2" t="s">
        <v>98</v>
      </c>
    </row>
    <row r="11" customFormat="false" ht="15" hidden="false" customHeight="false" outlineLevel="0" collapsed="false">
      <c r="A11" s="10" t="s">
        <v>99</v>
      </c>
      <c r="B11" s="15" t="n">
        <f aca="false">PMT(B6,B7,-B5,B9)</f>
        <v>6242669.34148823</v>
      </c>
      <c r="C11" s="2" t="s">
        <v>100</v>
      </c>
    </row>
    <row r="13" customFormat="false" ht="15" hidden="false" customHeight="false" outlineLevel="0" collapsed="false">
      <c r="A13" s="3" t="s">
        <v>101</v>
      </c>
    </row>
    <row r="14" customFormat="false" ht="15" hidden="false" customHeight="false" outlineLevel="0" collapsed="false">
      <c r="A14" s="10" t="s">
        <v>102</v>
      </c>
      <c r="B14" s="11" t="n">
        <v>4500000</v>
      </c>
    </row>
    <row r="15" customFormat="false" ht="15" hidden="false" customHeight="false" outlineLevel="0" collapsed="false">
      <c r="A15" s="10" t="s">
        <v>84</v>
      </c>
      <c r="B15" s="12" t="n">
        <v>0.012</v>
      </c>
    </row>
    <row r="16" customFormat="false" ht="15" hidden="false" customHeight="false" outlineLevel="0" collapsed="false">
      <c r="A16" s="10" t="s">
        <v>103</v>
      </c>
      <c r="B16" s="13" t="n">
        <v>12</v>
      </c>
    </row>
    <row r="17" customFormat="false" ht="15" hidden="false" customHeight="false" outlineLevel="0" collapsed="false">
      <c r="A17" s="10" t="s">
        <v>104</v>
      </c>
      <c r="B17" s="15" t="n">
        <f aca="false">PV(B15,B16,-B14)</f>
        <v>50013651.904611</v>
      </c>
      <c r="C17" s="2" t="s">
        <v>105</v>
      </c>
    </row>
    <row r="18" customFormat="false" ht="15" hidden="false" customHeight="false" outlineLevel="0" collapsed="false">
      <c r="A18" s="10" t="s">
        <v>106</v>
      </c>
      <c r="B18" s="14" t="n">
        <f aca="false">PV(B15,B16,-B14,0,1)</f>
        <v>50613815.7274663</v>
      </c>
      <c r="C18" s="2" t="s">
        <v>107</v>
      </c>
    </row>
    <row r="19" customFormat="false" ht="15" hidden="false" customHeight="false" outlineLevel="0" collapsed="false">
      <c r="A19" s="10" t="s">
        <v>108</v>
      </c>
      <c r="B19" s="15" t="n">
        <f aca="false">B17*(1+B15)</f>
        <v>50613815.7274663</v>
      </c>
    </row>
    <row r="21" customFormat="false" ht="15" hidden="false" customHeight="false" outlineLevel="0" collapsed="false">
      <c r="A21" s="3" t="s">
        <v>109</v>
      </c>
    </row>
    <row r="22" customFormat="false" ht="15" hidden="false" customHeight="false" outlineLevel="0" collapsed="false">
      <c r="A22" s="10" t="s">
        <v>110</v>
      </c>
      <c r="B22" s="11" t="n">
        <v>3000000</v>
      </c>
    </row>
    <row r="23" customFormat="false" ht="15" hidden="false" customHeight="false" outlineLevel="0" collapsed="false">
      <c r="A23" s="10" t="s">
        <v>84</v>
      </c>
      <c r="B23" s="12" t="n">
        <v>0.009</v>
      </c>
    </row>
    <row r="24" customFormat="false" ht="15" hidden="false" customHeight="false" outlineLevel="0" collapsed="false">
      <c r="A24" s="10" t="s">
        <v>111</v>
      </c>
      <c r="B24" s="13" t="n">
        <v>24</v>
      </c>
    </row>
    <row r="25" customFormat="false" ht="15" hidden="false" customHeight="false" outlineLevel="0" collapsed="false">
      <c r="A25" s="10" t="s">
        <v>112</v>
      </c>
      <c r="B25" s="14" t="n">
        <f aca="false">B22*((1+B23)^B24-1)/B23</f>
        <v>79967932.0740345</v>
      </c>
    </row>
    <row r="26" customFormat="false" ht="15" hidden="false" customHeight="false" outlineLevel="0" collapsed="false">
      <c r="A26" s="10" t="s">
        <v>113</v>
      </c>
      <c r="B26" s="15" t="n">
        <f aca="false">FV(B23,B24,-B22)</f>
        <v>79967932.0740345</v>
      </c>
      <c r="C26" s="2" t="s">
        <v>114</v>
      </c>
    </row>
    <row r="28" customFormat="false" ht="15" hidden="false" customHeight="false" outlineLevel="0" collapsed="false">
      <c r="A28" s="3" t="s">
        <v>115</v>
      </c>
    </row>
    <row r="29" customFormat="false" ht="15" hidden="false" customHeight="false" outlineLevel="0" collapsed="false">
      <c r="A29" s="10" t="s">
        <v>116</v>
      </c>
      <c r="B29" s="11" t="n">
        <v>12000000</v>
      </c>
    </row>
    <row r="30" customFormat="false" ht="15" hidden="false" customHeight="false" outlineLevel="0" collapsed="false">
      <c r="A30" s="10" t="s">
        <v>117</v>
      </c>
      <c r="B30" s="12" t="n">
        <v>0.15</v>
      </c>
    </row>
    <row r="31" customFormat="false" ht="15" hidden="false" customHeight="false" outlineLevel="0" collapsed="false">
      <c r="A31" s="10" t="s">
        <v>118</v>
      </c>
      <c r="B31" s="14" t="n">
        <f aca="false">B29/B30</f>
        <v>80000000</v>
      </c>
      <c r="C31" s="2" t="s">
        <v>119</v>
      </c>
    </row>
    <row r="33" customFormat="false" ht="15" hidden="false" customHeight="false" outlineLevel="0" collapsed="false">
      <c r="A33" s="3" t="s">
        <v>120</v>
      </c>
    </row>
    <row r="34" customFormat="false" ht="15" hidden="false" customHeight="false" outlineLevel="0" collapsed="false">
      <c r="A34" s="10" t="s">
        <v>121</v>
      </c>
      <c r="B34" s="21" t="n">
        <f aca="false">NPER(0.015,-2000000,50000000)</f>
        <v>31.5679939580008</v>
      </c>
      <c r="C34" s="2" t="s">
        <v>122</v>
      </c>
    </row>
    <row r="35" customFormat="false" ht="15" hidden="false" customHeight="false" outlineLevel="0" collapsed="false">
      <c r="A35" s="10" t="s">
        <v>123</v>
      </c>
      <c r="B35" s="16" t="n">
        <f aca="false">RATE(36,-2000000,50000000)</f>
        <v>0.02121114161818</v>
      </c>
      <c r="C35" s="2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J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3" min="3" style="0" width="6"/>
    <col collapsed="false" customWidth="true" hidden="false" outlineLevel="0" max="4" min="4" style="0" width="10"/>
    <col collapsed="false" customWidth="true" hidden="false" outlineLevel="0" max="6" min="5" style="0" width="18"/>
    <col collapsed="false" customWidth="true" hidden="false" outlineLevel="0" max="7" min="7" style="0" width="4"/>
    <col collapsed="false" customWidth="true" hidden="false" outlineLevel="0" max="8" min="8" style="0" width="10"/>
    <col collapsed="false" customWidth="true" hidden="false" outlineLevel="0" max="10" min="9" style="0" width="18"/>
  </cols>
  <sheetData>
    <row r="1" customFormat="false" ht="17.35" hidden="false" customHeight="false" outlineLevel="0" collapsed="false">
      <c r="A1" s="1" t="s">
        <v>125</v>
      </c>
    </row>
    <row r="2" customFormat="false" ht="15" hidden="false" customHeight="false" outlineLevel="0" collapsed="false">
      <c r="A2" s="2" t="s">
        <v>126</v>
      </c>
    </row>
    <row r="4" customFormat="false" ht="15" hidden="false" customHeight="false" outlineLevel="0" collapsed="false">
      <c r="A4" s="3" t="s">
        <v>127</v>
      </c>
      <c r="D4" s="5" t="s">
        <v>128</v>
      </c>
      <c r="E4" s="5" t="s">
        <v>129</v>
      </c>
      <c r="F4" s="5" t="s">
        <v>130</v>
      </c>
      <c r="H4" s="5" t="s">
        <v>128</v>
      </c>
      <c r="I4" s="5" t="s">
        <v>131</v>
      </c>
      <c r="J4" s="5" t="s">
        <v>132</v>
      </c>
    </row>
    <row r="5" customFormat="false" ht="15" hidden="false" customHeight="false" outlineLevel="0" collapsed="false">
      <c r="A5" s="10" t="s">
        <v>133</v>
      </c>
      <c r="B5" s="11" t="n">
        <v>1200000</v>
      </c>
      <c r="D5" s="19" t="n">
        <v>1</v>
      </c>
      <c r="E5" s="15" t="n">
        <f aca="false">IF(D5&lt;=$B$8,$B$5+$B$6*(D5-1),0)</f>
        <v>1200000</v>
      </c>
      <c r="F5" s="15" t="n">
        <f aca="false">E5/(1+$B$7)^D5</f>
        <v>1182266.00985222</v>
      </c>
      <c r="H5" s="19" t="n">
        <v>1</v>
      </c>
      <c r="I5" s="15" t="n">
        <f aca="false">IF(H5&lt;=$B$17,$B$14*(1+$B$15)^(H5-1),0)</f>
        <v>5000000</v>
      </c>
      <c r="J5" s="15" t="n">
        <f aca="false">I5/(1+$B$16)^H5</f>
        <v>4911591.35559921</v>
      </c>
    </row>
    <row r="6" customFormat="false" ht="15" hidden="false" customHeight="false" outlineLevel="0" collapsed="false">
      <c r="A6" s="10" t="s">
        <v>134</v>
      </c>
      <c r="B6" s="11" t="n">
        <v>150000</v>
      </c>
      <c r="D6" s="19" t="n">
        <v>2</v>
      </c>
      <c r="E6" s="15" t="n">
        <f aca="false">IF(D6&lt;=$B$8,$B$5+$B$6*(D6-1),0)</f>
        <v>1350000</v>
      </c>
      <c r="F6" s="15" t="n">
        <f aca="false">E6/(1+$B$7)^D6</f>
        <v>1310393.36067364</v>
      </c>
      <c r="H6" s="19" t="n">
        <v>2</v>
      </c>
      <c r="I6" s="15" t="n">
        <f aca="false">IF(H6&lt;=$B$17,$B$14*(1+$B$15)^(H6-1),0)</f>
        <v>5050000</v>
      </c>
      <c r="J6" s="15" t="n">
        <f aca="false">I6/(1+$B$16)^H6</f>
        <v>4872993.38816818</v>
      </c>
    </row>
    <row r="7" customFormat="false" ht="15" hidden="false" customHeight="false" outlineLevel="0" collapsed="false">
      <c r="A7" s="10" t="s">
        <v>84</v>
      </c>
      <c r="B7" s="12" t="n">
        <v>0.015</v>
      </c>
      <c r="D7" s="19" t="n">
        <v>3</v>
      </c>
      <c r="E7" s="15" t="n">
        <f aca="false">IF(D7&lt;=$B$8,$B$5+$B$6*(D7-1),0)</f>
        <v>1500000</v>
      </c>
      <c r="F7" s="15" t="n">
        <f aca="false">E7/(1+$B$7)^D7</f>
        <v>1434475.49061154</v>
      </c>
      <c r="H7" s="19" t="n">
        <v>3</v>
      </c>
      <c r="I7" s="15" t="n">
        <f aca="false">IF(H7&lt;=$B$17,$B$14*(1+$B$15)^(H7-1),0)</f>
        <v>5100500</v>
      </c>
      <c r="J7" s="15" t="n">
        <f aca="false">I7/(1+$B$16)^H7</f>
        <v>4834698.74464623</v>
      </c>
    </row>
    <row r="8" customFormat="false" ht="15" hidden="false" customHeight="false" outlineLevel="0" collapsed="false">
      <c r="A8" s="10" t="s">
        <v>135</v>
      </c>
      <c r="B8" s="13" t="n">
        <v>24</v>
      </c>
      <c r="D8" s="19" t="n">
        <v>4</v>
      </c>
      <c r="E8" s="15" t="n">
        <f aca="false">IF(D8&lt;=$B$8,$B$5+$B$6*(D8-1),0)</f>
        <v>1650000</v>
      </c>
      <c r="F8" s="15" t="n">
        <f aca="false">E8/(1+$B$7)^D8</f>
        <v>1554603.9799731</v>
      </c>
      <c r="H8" s="19" t="n">
        <v>4</v>
      </c>
      <c r="I8" s="15" t="n">
        <f aca="false">IF(H8&lt;=$B$17,$B$14*(1+$B$15)^(H8-1),0)</f>
        <v>5151505</v>
      </c>
      <c r="J8" s="15" t="n">
        <f aca="false">I8/(1+$B$16)^H8</f>
        <v>4796705.04134842</v>
      </c>
    </row>
    <row r="9" customFormat="false" ht="15" hidden="false" customHeight="false" outlineLevel="0" collapsed="false">
      <c r="A9" s="10" t="s">
        <v>136</v>
      </c>
      <c r="B9" s="14" t="n">
        <f aca="false">B5*(1-(1+B7)^-B8)/B7+B6/B7*((1-(1+B7)^-B8)/B7-B8/(1+B7)^B8)</f>
        <v>56449999.4219037</v>
      </c>
      <c r="D9" s="19" t="n">
        <v>5</v>
      </c>
      <c r="E9" s="15" t="n">
        <f aca="false">IF(D9&lt;=$B$8,$B$5+$B$6*(D9-1),0)</f>
        <v>1800000</v>
      </c>
      <c r="F9" s="15" t="n">
        <f aca="false">E9/(1+$B$7)^D9</f>
        <v>1670868.58573015</v>
      </c>
      <c r="H9" s="19" t="n">
        <v>5</v>
      </c>
      <c r="I9" s="15" t="n">
        <f aca="false">IF(H9&lt;=$B$17,$B$14*(1+$B$15)^(H9-1),0)</f>
        <v>5203020.05</v>
      </c>
      <c r="J9" s="15" t="n">
        <f aca="false">I9/(1+$B$16)^H9</f>
        <v>4759009.91332211</v>
      </c>
    </row>
    <row r="10" customFormat="false" ht="15" hidden="false" customHeight="false" outlineLevel="0" collapsed="false">
      <c r="A10" s="10" t="s">
        <v>137</v>
      </c>
      <c r="B10" s="15" t="n">
        <f aca="false">F29</f>
        <v>56449999.4219053</v>
      </c>
      <c r="C10" s="2" t="s">
        <v>138</v>
      </c>
      <c r="D10" s="19" t="n">
        <v>6</v>
      </c>
      <c r="E10" s="15" t="n">
        <f aca="false">IF(D10&lt;=$B$8,$B$5+$B$6*(D10-1),0)</f>
        <v>1950000</v>
      </c>
      <c r="F10" s="15" t="n">
        <f aca="false">E10/(1+$B$7)^D10</f>
        <v>1783357.27540985</v>
      </c>
      <c r="H10" s="19" t="n">
        <v>6</v>
      </c>
      <c r="I10" s="15" t="n">
        <f aca="false">IF(H10&lt;=$B$17,$B$14*(1+$B$15)^(H10-1),0)</f>
        <v>5255050.2505</v>
      </c>
      <c r="J10" s="15" t="n">
        <f aca="false">I10/(1+$B$16)^H10</f>
        <v>4721611.01419973</v>
      </c>
    </row>
    <row r="11" customFormat="false" ht="15" hidden="false" customHeight="false" outlineLevel="0" collapsed="false">
      <c r="A11" s="10" t="s">
        <v>139</v>
      </c>
      <c r="B11" s="15" t="n">
        <f aca="false">NPV(B7,E5:E28)</f>
        <v>56449999.4219053</v>
      </c>
      <c r="C11" s="2" t="s">
        <v>140</v>
      </c>
      <c r="D11" s="19" t="n">
        <v>7</v>
      </c>
      <c r="E11" s="15" t="n">
        <f aca="false">IF(D11&lt;=$B$8,$B$5+$B$6*(D11-1),0)</f>
        <v>2100000</v>
      </c>
      <c r="F11" s="15" t="n">
        <f aca="false">E11/(1+$B$7)^D11</f>
        <v>1892156.2603818</v>
      </c>
      <c r="H11" s="19" t="n">
        <v>7</v>
      </c>
      <c r="I11" s="15" t="n">
        <f aca="false">IF(H11&lt;=$B$17,$B$14*(1+$B$15)^(H11-1),0)</f>
        <v>5307600.753005</v>
      </c>
      <c r="J11" s="15" t="n">
        <f aca="false">I11/(1+$B$16)^H11</f>
        <v>4684506.01605278</v>
      </c>
    </row>
    <row r="12" customFormat="false" ht="15" hidden="false" customHeight="false" outlineLevel="0" collapsed="false">
      <c r="D12" s="19" t="n">
        <v>8</v>
      </c>
      <c r="E12" s="15" t="n">
        <f aca="false">IF(D12&lt;=$B$8,$B$5+$B$6*(D12-1),0)</f>
        <v>2250000</v>
      </c>
      <c r="F12" s="15" t="n">
        <f aca="false">E12/(1+$B$7)^D12</f>
        <v>1997350.02855222</v>
      </c>
      <c r="H12" s="19" t="n">
        <v>8</v>
      </c>
      <c r="I12" s="15" t="n">
        <f aca="false">IF(H12&lt;=$B$17,$B$14*(1+$B$15)^(H12-1),0)</f>
        <v>5360676.76053505</v>
      </c>
      <c r="J12" s="15" t="n">
        <f aca="false">I12/(1+$B$16)^H12</f>
        <v>4647692.60924686</v>
      </c>
    </row>
    <row r="13" customFormat="false" ht="15" hidden="false" customHeight="false" outlineLevel="0" collapsed="false">
      <c r="A13" s="3" t="s">
        <v>141</v>
      </c>
      <c r="D13" s="19" t="n">
        <v>9</v>
      </c>
      <c r="E13" s="15" t="n">
        <f aca="false">IF(D13&lt;=$B$8,$B$5+$B$6*(D13-1),0)</f>
        <v>2400000</v>
      </c>
      <c r="F13" s="15" t="n">
        <f aca="false">E13/(1+$B$7)^D13</f>
        <v>2099021.37647524</v>
      </c>
      <c r="H13" s="19" t="n">
        <v>9</v>
      </c>
      <c r="I13" s="15" t="n">
        <f aca="false">IF(H13&lt;=$B$17,$B$14*(1+$B$15)^(H13-1),0)</f>
        <v>5414283.5281404</v>
      </c>
      <c r="J13" s="15" t="n">
        <f aca="false">I13/(1+$B$16)^H13</f>
        <v>4611168.50229797</v>
      </c>
    </row>
    <row r="14" customFormat="false" ht="15" hidden="false" customHeight="false" outlineLevel="0" collapsed="false">
      <c r="A14" s="10" t="s">
        <v>142</v>
      </c>
      <c r="B14" s="11" t="n">
        <v>5000000</v>
      </c>
      <c r="D14" s="19" t="n">
        <v>10</v>
      </c>
      <c r="E14" s="15" t="n">
        <f aca="false">IF(D14&lt;=$B$8,$B$5+$B$6*(D14-1),0)</f>
        <v>2550000</v>
      </c>
      <c r="F14" s="15" t="n">
        <f aca="false">E14/(1+$B$7)^D14</f>
        <v>2197251.44089157</v>
      </c>
      <c r="H14" s="19" t="n">
        <v>10</v>
      </c>
      <c r="I14" s="15" t="n">
        <f aca="false">IF(H14&lt;=$B$17,$B$14*(1+$B$15)^(H14-1),0)</f>
        <v>5468426.3634218</v>
      </c>
      <c r="J14" s="15" t="n">
        <f aca="false">I14/(1+$B$16)^H14</f>
        <v>4574931.42172981</v>
      </c>
    </row>
    <row r="15" customFormat="false" ht="15" hidden="false" customHeight="false" outlineLevel="0" collapsed="false">
      <c r="A15" s="10" t="s">
        <v>143</v>
      </c>
      <c r="B15" s="12" t="n">
        <v>0.01</v>
      </c>
      <c r="D15" s="19" t="n">
        <v>11</v>
      </c>
      <c r="E15" s="15" t="n">
        <f aca="false">IF(D15&lt;=$B$8,$B$5+$B$6*(D15-1),0)</f>
        <v>2700000</v>
      </c>
      <c r="F15" s="15" t="n">
        <f aca="false">E15/(1+$B$7)^D15</f>
        <v>2292119.72970433</v>
      </c>
      <c r="H15" s="19" t="n">
        <v>11</v>
      </c>
      <c r="I15" s="15" t="n">
        <f aca="false">IF(H15&lt;=$B$17,$B$14*(1+$B$15)^(H15-1),0)</f>
        <v>5523110.62705602</v>
      </c>
      <c r="J15" s="15" t="n">
        <f aca="false">I15/(1+$B$16)^H15</f>
        <v>4538979.11193233</v>
      </c>
    </row>
    <row r="16" customFormat="false" ht="15" hidden="false" customHeight="false" outlineLevel="0" collapsed="false">
      <c r="A16" s="10" t="s">
        <v>144</v>
      </c>
      <c r="B16" s="12" t="n">
        <v>0.018</v>
      </c>
      <c r="D16" s="19" t="n">
        <v>12</v>
      </c>
      <c r="E16" s="15" t="n">
        <f aca="false">IF(D16&lt;=$B$8,$B$5+$B$6*(D16-1),0)</f>
        <v>2850000</v>
      </c>
      <c r="F16" s="15" t="n">
        <f aca="false">E16/(1+$B$7)^D16</f>
        <v>2383704.15240188</v>
      </c>
      <c r="H16" s="19" t="n">
        <v>12</v>
      </c>
      <c r="I16" s="15" t="n">
        <f aca="false">IF(H16&lt;=$B$17,$B$14*(1+$B$15)^(H16-1),0)</f>
        <v>5578341.73332658</v>
      </c>
      <c r="J16" s="15" t="n">
        <f aca="false">I16/(1+$B$16)^H16</f>
        <v>4503309.33502127</v>
      </c>
    </row>
    <row r="17" customFormat="false" ht="15" hidden="false" customHeight="false" outlineLevel="0" collapsed="false">
      <c r="A17" s="10" t="s">
        <v>135</v>
      </c>
      <c r="B17" s="13" t="n">
        <v>36</v>
      </c>
      <c r="D17" s="19" t="n">
        <v>13</v>
      </c>
      <c r="E17" s="15" t="n">
        <f aca="false">IF(D17&lt;=$B$8,$B$5+$B$6*(D17-1),0)</f>
        <v>3000000</v>
      </c>
      <c r="F17" s="15" t="n">
        <f aca="false">E17/(1+$B$7)^D17</f>
        <v>2472081.04993713</v>
      </c>
      <c r="H17" s="19" t="n">
        <v>13</v>
      </c>
      <c r="I17" s="15" t="n">
        <f aca="false">IF(H17&lt;=$B$17,$B$14*(1+$B$15)^(H17-1),0)</f>
        <v>5634125.15065985</v>
      </c>
      <c r="J17" s="15" t="n">
        <f aca="false">I17/(1+$B$16)^H17</f>
        <v>4467919.8706989</v>
      </c>
    </row>
    <row r="18" customFormat="false" ht="15" hidden="false" customHeight="false" outlineLevel="0" collapsed="false">
      <c r="A18" s="10" t="s">
        <v>136</v>
      </c>
      <c r="B18" s="14" t="n">
        <f aca="false">B14*(1-((1+B15)/(1+B16))^B17)/(B16-B15)</f>
        <v>154532675.652505</v>
      </c>
      <c r="C18" s="2" t="s">
        <v>145</v>
      </c>
      <c r="D18" s="19" t="n">
        <v>14</v>
      </c>
      <c r="E18" s="15" t="n">
        <f aca="false">IF(D18&lt;=$B$8,$B$5+$B$6*(D18-1),0)</f>
        <v>3150000</v>
      </c>
      <c r="F18" s="15" t="n">
        <f aca="false">E18/(1+$B$7)^D18</f>
        <v>2557325.2240729</v>
      </c>
      <c r="H18" s="19" t="n">
        <v>14</v>
      </c>
      <c r="I18" s="15" t="n">
        <f aca="false">IF(H18&lt;=$B$17,$B$14*(1+$B$15)^(H18-1),0)</f>
        <v>5690466.40216645</v>
      </c>
      <c r="J18" s="15" t="n">
        <f aca="false">I18/(1+$B$16)^H18</f>
        <v>4432808.51611581</v>
      </c>
    </row>
    <row r="19" customFormat="false" ht="15" hidden="false" customHeight="false" outlineLevel="0" collapsed="false">
      <c r="A19" s="10" t="s">
        <v>137</v>
      </c>
      <c r="B19" s="15" t="n">
        <f aca="false">J41</f>
        <v>154532675.652505</v>
      </c>
      <c r="C19" s="2" t="s">
        <v>138</v>
      </c>
      <c r="D19" s="19" t="n">
        <v>15</v>
      </c>
      <c r="E19" s="15" t="n">
        <f aca="false">IF(D19&lt;=$B$8,$B$5+$B$6*(D19-1),0)</f>
        <v>3300000</v>
      </c>
      <c r="F19" s="15" t="n">
        <f aca="false">E19/(1+$B$7)^D19</f>
        <v>2639509.96620238</v>
      </c>
      <c r="H19" s="19" t="n">
        <v>15</v>
      </c>
      <c r="I19" s="15" t="n">
        <f aca="false">IF(H19&lt;=$B$17,$B$14*(1+$B$15)^(H19-1),0)</f>
        <v>5747371.06618811</v>
      </c>
      <c r="J19" s="15" t="n">
        <f aca="false">I19/(1+$B$16)^H19</f>
        <v>4397973.08573376</v>
      </c>
    </row>
    <row r="20" customFormat="false" ht="15" hidden="false" customHeight="false" outlineLevel="0" collapsed="false">
      <c r="A20" s="10" t="s">
        <v>146</v>
      </c>
      <c r="B20" s="11" t="n">
        <v>180000000</v>
      </c>
      <c r="D20" s="19" t="n">
        <v>16</v>
      </c>
      <c r="E20" s="15" t="n">
        <f aca="false">IF(D20&lt;=$B$8,$B$5+$B$6*(D20-1),0)</f>
        <v>3450000</v>
      </c>
      <c r="F20" s="15" t="n">
        <f aca="false">E20/(1+$B$7)^D20</f>
        <v>2718707.08565404</v>
      </c>
      <c r="H20" s="19" t="n">
        <v>16</v>
      </c>
      <c r="I20" s="15" t="n">
        <f aca="false">IF(H20&lt;=$B$17,$B$14*(1+$B$15)^(H20-1),0)</f>
        <v>5804844.77684999</v>
      </c>
      <c r="J20" s="15" t="n">
        <f aca="false">I20/(1+$B$16)^H20</f>
        <v>4363411.41118968</v>
      </c>
    </row>
    <row r="21" customFormat="false" ht="15" hidden="false" customHeight="false" outlineLevel="0" collapsed="false">
      <c r="A21" s="10" t="s">
        <v>147</v>
      </c>
      <c r="B21" s="9" t="str">
        <f aca="false">IF(B18&gt;=B20,"Sí","No: falta valor por ventas")</f>
        <v>No: falta valor por ventas</v>
      </c>
      <c r="D21" s="19" t="n">
        <v>17</v>
      </c>
      <c r="E21" s="15" t="n">
        <f aca="false">IF(D21&lt;=$B$8,$B$5+$B$6*(D21-1),0)</f>
        <v>3600000</v>
      </c>
      <c r="F21" s="15" t="n">
        <f aca="false">E21/(1+$B$7)^D21</f>
        <v>2794986.9374897</v>
      </c>
      <c r="H21" s="19" t="n">
        <v>17</v>
      </c>
      <c r="I21" s="15" t="n">
        <f aca="false">IF(H21&lt;=$B$17,$B$14*(1+$B$15)^(H21-1),0)</f>
        <v>5862893.22461849</v>
      </c>
      <c r="J21" s="15" t="n">
        <f aca="false">I21/(1+$B$16)^H21</f>
        <v>4329121.34116068</v>
      </c>
    </row>
    <row r="22" customFormat="false" ht="15" hidden="false" customHeight="false" outlineLevel="0" collapsed="false">
      <c r="D22" s="19" t="n">
        <v>18</v>
      </c>
      <c r="E22" s="15" t="n">
        <f aca="false">IF(D22&lt;=$B$8,$B$5+$B$6*(D22-1),0)</f>
        <v>3750000</v>
      </c>
      <c r="F22" s="15" t="n">
        <f aca="false">E22/(1+$B$7)^D22</f>
        <v>2868418.4498047</v>
      </c>
      <c r="H22" s="19" t="n">
        <v>18</v>
      </c>
      <c r="I22" s="15" t="n">
        <f aca="false">IF(H22&lt;=$B$17,$B$14*(1+$B$15)^(H22-1),0)</f>
        <v>5921522.15686468</v>
      </c>
      <c r="J22" s="15" t="n">
        <f aca="false">I22/(1+$B$16)^H22</f>
        <v>4295100.74123015</v>
      </c>
    </row>
    <row r="23" customFormat="false" ht="15" hidden="false" customHeight="false" outlineLevel="0" collapsed="false">
      <c r="D23" s="19" t="n">
        <v>19</v>
      </c>
      <c r="E23" s="15" t="n">
        <f aca="false">IF(D23&lt;=$B$8,$B$5+$B$6*(D23-1),0)</f>
        <v>3900000</v>
      </c>
      <c r="F23" s="15" t="n">
        <f aca="false">E23/(1+$B$7)^D23</f>
        <v>2939069.1505388</v>
      </c>
      <c r="H23" s="19" t="n">
        <v>19</v>
      </c>
      <c r="I23" s="15" t="n">
        <f aca="false">IF(H23&lt;=$B$17,$B$14*(1+$B$15)^(H23-1),0)</f>
        <v>5980737.37843333</v>
      </c>
      <c r="J23" s="15" t="n">
        <f aca="false">I23/(1+$B$16)^H23</f>
        <v>4261347.49375486</v>
      </c>
    </row>
    <row r="24" customFormat="false" ht="15" hidden="false" customHeight="false" outlineLevel="0" collapsed="false">
      <c r="D24" s="19" t="n">
        <v>20</v>
      </c>
      <c r="E24" s="15" t="n">
        <f aca="false">IF(D24&lt;=$B$8,$B$5+$B$6*(D24-1),0)</f>
        <v>4050000</v>
      </c>
      <c r="F24" s="15" t="n">
        <f aca="false">E24/(1+$B$7)^D24</f>
        <v>3007005.19380628</v>
      </c>
      <c r="H24" s="19" t="n">
        <v>20</v>
      </c>
      <c r="I24" s="15" t="n">
        <f aca="false">IF(H24&lt;=$B$17,$B$14*(1+$B$15)^(H24-1),0)</f>
        <v>6040544.75221766</v>
      </c>
      <c r="J24" s="15" t="n">
        <f aca="false">I24/(1+$B$16)^H24</f>
        <v>4227859.49773321</v>
      </c>
    </row>
    <row r="25" customFormat="false" ht="15" hidden="false" customHeight="false" outlineLevel="0" collapsed="false">
      <c r="D25" s="19" t="n">
        <v>21</v>
      </c>
      <c r="E25" s="15" t="n">
        <f aca="false">IF(D25&lt;=$B$8,$B$5+$B$6*(D25-1),0)</f>
        <v>4200000</v>
      </c>
      <c r="F25" s="15" t="n">
        <f aca="false">E25/(1+$B$7)^D25</f>
        <v>3072291.38575354</v>
      </c>
      <c r="H25" s="19" t="n">
        <v>21</v>
      </c>
      <c r="I25" s="15" t="n">
        <f aca="false">IF(H25&lt;=$B$17,$B$14*(1+$B$15)^(H25-1),0)</f>
        <v>6100950.19973984</v>
      </c>
      <c r="J25" s="15" t="n">
        <f aca="false">I25/(1+$B$16)^H25</f>
        <v>4194634.66867441</v>
      </c>
    </row>
    <row r="26" customFormat="false" ht="15" hidden="false" customHeight="false" outlineLevel="0" collapsed="false">
      <c r="D26" s="19" t="n">
        <v>22</v>
      </c>
      <c r="E26" s="15" t="n">
        <f aca="false">IF(D26&lt;=$B$8,$B$5+$B$6*(D26-1),0)</f>
        <v>4350000</v>
      </c>
      <c r="F26" s="15" t="n">
        <f aca="false">E26/(1+$B$7)^D26</f>
        <v>3134991.20995259</v>
      </c>
      <c r="H26" s="19" t="n">
        <v>22</v>
      </c>
      <c r="I26" s="15" t="n">
        <f aca="false">IF(H26&lt;=$B$17,$B$14*(1+$B$15)^(H26-1),0)</f>
        <v>6161959.70173723</v>
      </c>
      <c r="J26" s="15" t="n">
        <f aca="false">I26/(1+$B$16)^H26</f>
        <v>4161670.93846871</v>
      </c>
    </row>
    <row r="27" customFormat="false" ht="15" hidden="false" customHeight="false" outlineLevel="0" collapsed="false">
      <c r="D27" s="19" t="n">
        <v>23</v>
      </c>
      <c r="E27" s="15" t="n">
        <f aca="false">IF(D27&lt;=$B$8,$B$5+$B$6*(D27-1),0)</f>
        <v>4500000</v>
      </c>
      <c r="F27" s="15" t="n">
        <f aca="false">E27/(1+$B$7)^D27</f>
        <v>3195166.8523383</v>
      </c>
      <c r="H27" s="19" t="n">
        <v>23</v>
      </c>
      <c r="I27" s="15" t="n">
        <f aca="false">IF(H27&lt;=$B$17,$B$14*(1+$B$15)^(H27-1),0)</f>
        <v>6223579.29875461</v>
      </c>
      <c r="J27" s="15" t="n">
        <f aca="false">I27/(1+$B$16)^H27</f>
        <v>4128966.25525874</v>
      </c>
    </row>
    <row r="28" customFormat="false" ht="15" hidden="false" customHeight="false" outlineLevel="0" collapsed="false">
      <c r="D28" s="19" t="n">
        <v>24</v>
      </c>
      <c r="E28" s="15" t="n">
        <f aca="false">IF(D28&lt;=$B$8,$B$5+$B$6*(D28-1),0)</f>
        <v>4650000</v>
      </c>
      <c r="F28" s="15" t="n">
        <f aca="false">E28/(1+$B$7)^D28</f>
        <v>3252879.22569745</v>
      </c>
      <c r="H28" s="19" t="n">
        <v>24</v>
      </c>
      <c r="I28" s="15" t="n">
        <f aca="false">IF(H28&lt;=$B$17,$B$14*(1+$B$15)^(H28-1),0)</f>
        <v>6285815.09174215</v>
      </c>
      <c r="J28" s="15" t="n">
        <f aca="false">I28/(1+$B$16)^H28</f>
        <v>4096518.58331172</v>
      </c>
    </row>
    <row r="29" customFormat="false" ht="15" hidden="false" customHeight="false" outlineLevel="0" collapsed="false">
      <c r="E29" s="6" t="s">
        <v>148</v>
      </c>
      <c r="F29" s="22" t="n">
        <f aca="false">SUM(F5:F28)</f>
        <v>56449999.4219053</v>
      </c>
      <c r="H29" s="19" t="n">
        <v>25</v>
      </c>
      <c r="I29" s="15" t="n">
        <f aca="false">IF(H29&lt;=$B$17,$B$14*(1+$B$15)^(H29-1),0)</f>
        <v>6348673.24265957</v>
      </c>
      <c r="J29" s="15" t="n">
        <f aca="false">I29/(1+$B$16)^H29</f>
        <v>4064325.90289277</v>
      </c>
    </row>
    <row r="30" customFormat="false" ht="15" hidden="false" customHeight="false" outlineLevel="0" collapsed="false">
      <c r="H30" s="19" t="n">
        <v>26</v>
      </c>
      <c r="I30" s="15" t="n">
        <f aca="false">IF(H30&lt;=$B$17,$B$14*(1+$B$15)^(H30-1),0)</f>
        <v>6412159.97508617</v>
      </c>
      <c r="J30" s="15" t="n">
        <f aca="false">I30/(1+$B$16)^H30</f>
        <v>4032386.21013919</v>
      </c>
    </row>
    <row r="31" customFormat="false" ht="15" hidden="false" customHeight="false" outlineLevel="0" collapsed="false">
      <c r="H31" s="19" t="n">
        <v>27</v>
      </c>
      <c r="I31" s="15" t="n">
        <f aca="false">IF(H31&lt;=$B$17,$B$14*(1+$B$15)^(H31-1),0)</f>
        <v>6476281.57483703</v>
      </c>
      <c r="J31" s="15" t="n">
        <f aca="false">I31/(1+$B$16)^H31</f>
        <v>4000697.51693574</v>
      </c>
    </row>
    <row r="32" customFormat="false" ht="15" hidden="false" customHeight="false" outlineLevel="0" collapsed="false">
      <c r="H32" s="19" t="n">
        <v>28</v>
      </c>
      <c r="I32" s="15" t="n">
        <f aca="false">IF(H32&lt;=$B$17,$B$14*(1+$B$15)^(H32-1),0)</f>
        <v>6541044.3905854</v>
      </c>
      <c r="J32" s="15" t="n">
        <f aca="false">I32/(1+$B$16)^H32</f>
        <v>3969257.85079086</v>
      </c>
    </row>
    <row r="33" customFormat="false" ht="15" hidden="false" customHeight="false" outlineLevel="0" collapsed="false">
      <c r="H33" s="19" t="n">
        <v>29</v>
      </c>
      <c r="I33" s="15" t="n">
        <f aca="false">IF(H33&lt;=$B$17,$B$14*(1+$B$15)^(H33-1),0)</f>
        <v>6606454.83449126</v>
      </c>
      <c r="J33" s="15" t="n">
        <f aca="false">I33/(1+$B$16)^H33</f>
        <v>3938065.25471392</v>
      </c>
    </row>
    <row r="34" customFormat="false" ht="15" hidden="false" customHeight="false" outlineLevel="0" collapsed="false">
      <c r="H34" s="19" t="n">
        <v>30</v>
      </c>
      <c r="I34" s="15" t="n">
        <f aca="false">IF(H34&lt;=$B$17,$B$14*(1+$B$15)^(H34-1),0)</f>
        <v>6672519.38283617</v>
      </c>
      <c r="J34" s="15" t="n">
        <f aca="false">I34/(1+$B$16)^H34</f>
        <v>3907117.78709338</v>
      </c>
    </row>
    <row r="35" customFormat="false" ht="15" hidden="false" customHeight="false" outlineLevel="0" collapsed="false">
      <c r="H35" s="19" t="n">
        <v>31</v>
      </c>
      <c r="I35" s="15" t="n">
        <f aca="false">IF(H35&lt;=$B$17,$B$14*(1+$B$15)^(H35-1),0)</f>
        <v>6739244.57666453</v>
      </c>
      <c r="J35" s="15" t="n">
        <f aca="false">I35/(1+$B$16)^H35</f>
        <v>3876413.52157594</v>
      </c>
    </row>
    <row r="36" customFormat="false" ht="15" hidden="false" customHeight="false" outlineLevel="0" collapsed="false">
      <c r="H36" s="19" t="n">
        <v>32</v>
      </c>
      <c r="I36" s="15" t="n">
        <f aca="false">IF(H36&lt;=$B$17,$B$14*(1+$B$15)^(H36-1),0)</f>
        <v>6806637.02243118</v>
      </c>
      <c r="J36" s="15" t="n">
        <f aca="false">I36/(1+$B$16)^H36</f>
        <v>3845950.54694666</v>
      </c>
    </row>
    <row r="37" customFormat="false" ht="15" hidden="false" customHeight="false" outlineLevel="0" collapsed="false">
      <c r="H37" s="19" t="n">
        <v>33</v>
      </c>
      <c r="I37" s="15" t="n">
        <f aca="false">IF(H37&lt;=$B$17,$B$14*(1+$B$15)^(H37-1),0)</f>
        <v>6874703.39265549</v>
      </c>
      <c r="J37" s="15" t="n">
        <f aca="false">I37/(1+$B$16)^H37</f>
        <v>3815726.96700995</v>
      </c>
    </row>
    <row r="38" customFormat="false" ht="15" hidden="false" customHeight="false" outlineLevel="0" collapsed="false">
      <c r="H38" s="19" t="n">
        <v>34</v>
      </c>
      <c r="I38" s="15" t="n">
        <f aca="false">IF(H38&lt;=$B$17,$B$14*(1+$B$15)^(H38-1),0)</f>
        <v>6943450.42658204</v>
      </c>
      <c r="J38" s="15" t="n">
        <f aca="false">I38/(1+$B$16)^H38</f>
        <v>3785740.90047156</v>
      </c>
    </row>
    <row r="39" customFormat="false" ht="15" hidden="false" customHeight="false" outlineLevel="0" collapsed="false">
      <c r="H39" s="19" t="n">
        <v>35</v>
      </c>
      <c r="I39" s="15" t="n">
        <f aca="false">IF(H39&lt;=$B$17,$B$14*(1+$B$15)^(H39-1),0)</f>
        <v>7012884.93084786</v>
      </c>
      <c r="J39" s="15" t="n">
        <f aca="false">I39/(1+$B$16)^H39</f>
        <v>3755990.48082149</v>
      </c>
    </row>
    <row r="40" customFormat="false" ht="15" hidden="false" customHeight="false" outlineLevel="0" collapsed="false">
      <c r="H40" s="19" t="n">
        <v>36</v>
      </c>
      <c r="I40" s="15" t="n">
        <f aca="false">IF(H40&lt;=$B$17,$B$14*(1+$B$15)^(H40-1),0)</f>
        <v>7083013.78015634</v>
      </c>
      <c r="J40" s="15" t="n">
        <f aca="false">I40/(1+$B$16)^H40</f>
        <v>3726473.85621778</v>
      </c>
    </row>
    <row r="41" customFormat="false" ht="15" hidden="false" customHeight="false" outlineLevel="0" collapsed="false">
      <c r="I41" s="6" t="s">
        <v>148</v>
      </c>
      <c r="J41" s="22" t="n">
        <f aca="false">SUM(J5:J40)</f>
        <v>154532675.652505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8"/>
    <col collapsed="false" customWidth="true" hidden="false" outlineLevel="0" max="9" min="5" style="0" width="18"/>
  </cols>
  <sheetData>
    <row r="1" customFormat="false" ht="17.35" hidden="false" customHeight="false" outlineLevel="0" collapsed="false">
      <c r="A1" s="1" t="s">
        <v>149</v>
      </c>
    </row>
    <row r="2" customFormat="false" ht="15" hidden="false" customHeight="false" outlineLevel="0" collapsed="false">
      <c r="A2" s="2" t="s">
        <v>150</v>
      </c>
    </row>
    <row r="4" customFormat="false" ht="15" hidden="false" customHeight="false" outlineLevel="0" collapsed="false">
      <c r="A4" s="10" t="s">
        <v>151</v>
      </c>
      <c r="B4" s="11" t="n">
        <v>200000000</v>
      </c>
      <c r="D4" s="5" t="s">
        <v>128</v>
      </c>
      <c r="E4" s="5" t="s">
        <v>152</v>
      </c>
      <c r="F4" s="5" t="s">
        <v>153</v>
      </c>
      <c r="G4" s="5" t="s">
        <v>154</v>
      </c>
      <c r="H4" s="5" t="s">
        <v>155</v>
      </c>
      <c r="I4" s="5" t="s">
        <v>156</v>
      </c>
    </row>
    <row r="5" customFormat="false" ht="15" hidden="false" customHeight="false" outlineLevel="0" collapsed="false">
      <c r="A5" s="10" t="s">
        <v>157</v>
      </c>
      <c r="B5" s="23" t="n">
        <f aca="false">S1_Tasas!E24</f>
        <v>0.235</v>
      </c>
      <c r="C5" s="2" t="s">
        <v>158</v>
      </c>
      <c r="D5" s="19" t="n">
        <v>1</v>
      </c>
      <c r="E5" s="15" t="n">
        <f aca="false">$B$4</f>
        <v>200000000</v>
      </c>
      <c r="F5" s="15" t="n">
        <f aca="false">$B$8</f>
        <v>7565218.72404681</v>
      </c>
      <c r="G5" s="15" t="n">
        <f aca="false">E5*$B$7</f>
        <v>3548969.85757409</v>
      </c>
      <c r="H5" s="15" t="n">
        <f aca="false">F5-G5</f>
        <v>4016248.86647272</v>
      </c>
      <c r="I5" s="15" t="n">
        <f aca="false">ROUND(E5-H5,2)</f>
        <v>195983751.13</v>
      </c>
    </row>
    <row r="6" customFormat="false" ht="15" hidden="false" customHeight="false" outlineLevel="0" collapsed="false">
      <c r="A6" s="10" t="s">
        <v>94</v>
      </c>
      <c r="B6" s="13" t="n">
        <v>36</v>
      </c>
      <c r="D6" s="19" t="n">
        <v>2</v>
      </c>
      <c r="E6" s="15" t="n">
        <f aca="false">I5</f>
        <v>195983751.13</v>
      </c>
      <c r="F6" s="15" t="n">
        <f aca="false">$B$8</f>
        <v>7565218.72404681</v>
      </c>
      <c r="G6" s="15" t="n">
        <f aca="false">E6*$B$7</f>
        <v>3477702.12667336</v>
      </c>
      <c r="H6" s="15" t="n">
        <f aca="false">F6-G6</f>
        <v>4087516.59737345</v>
      </c>
      <c r="I6" s="15" t="n">
        <f aca="false">ROUND(E6-H6,2)</f>
        <v>191896234.53</v>
      </c>
    </row>
    <row r="7" customFormat="false" ht="15" hidden="false" customHeight="false" outlineLevel="0" collapsed="false">
      <c r="A7" s="10" t="s">
        <v>159</v>
      </c>
      <c r="B7" s="16" t="n">
        <f aca="false">(1+B5)^(1/12)-1</f>
        <v>0.0177448492878705</v>
      </c>
      <c r="C7" s="2" t="s">
        <v>160</v>
      </c>
      <c r="D7" s="19" t="n">
        <v>3</v>
      </c>
      <c r="E7" s="15" t="n">
        <f aca="false">I6</f>
        <v>191896234.53</v>
      </c>
      <c r="F7" s="15" t="n">
        <f aca="false">$B$8</f>
        <v>7565218.72404681</v>
      </c>
      <c r="G7" s="15" t="n">
        <f aca="false">E7*$B$7</f>
        <v>3405169.76064469</v>
      </c>
      <c r="H7" s="15" t="n">
        <f aca="false">F7-G7</f>
        <v>4160048.96340212</v>
      </c>
      <c r="I7" s="15" t="n">
        <f aca="false">ROUND(E7-H7,2)</f>
        <v>187736185.57</v>
      </c>
    </row>
    <row r="8" customFormat="false" ht="15" hidden="false" customHeight="false" outlineLevel="0" collapsed="false">
      <c r="A8" s="10" t="s">
        <v>161</v>
      </c>
      <c r="B8" s="14" t="n">
        <f aca="false">PMT(B7,B6,-B4)</f>
        <v>7565218.72404681</v>
      </c>
      <c r="C8" s="2" t="s">
        <v>162</v>
      </c>
      <c r="D8" s="19" t="n">
        <v>4</v>
      </c>
      <c r="E8" s="15" t="n">
        <f aca="false">I7</f>
        <v>187736185.57</v>
      </c>
      <c r="F8" s="15" t="n">
        <f aca="false">$B$8</f>
        <v>7565218.72404681</v>
      </c>
      <c r="G8" s="15" t="n">
        <f aca="false">E8*$B$7</f>
        <v>3331350.31881933</v>
      </c>
      <c r="H8" s="15" t="n">
        <f aca="false">F8-G8</f>
        <v>4233868.40522748</v>
      </c>
      <c r="I8" s="15" t="n">
        <f aca="false">ROUND(E8-H8,2)</f>
        <v>183502317.16</v>
      </c>
    </row>
    <row r="9" customFormat="false" ht="15" hidden="false" customHeight="false" outlineLevel="0" collapsed="false">
      <c r="A9" s="10" t="s">
        <v>163</v>
      </c>
      <c r="B9" s="15" t="n">
        <f aca="false">SUM(F5:F40)</f>
        <v>272347874.065685</v>
      </c>
      <c r="D9" s="19" t="n">
        <v>5</v>
      </c>
      <c r="E9" s="15" t="n">
        <f aca="false">I8</f>
        <v>183502317.16</v>
      </c>
      <c r="F9" s="15" t="n">
        <f aca="false">$B$8</f>
        <v>7565218.72404681</v>
      </c>
      <c r="G9" s="15" t="n">
        <f aca="false">E9*$B$7</f>
        <v>3256220.96197921</v>
      </c>
      <c r="H9" s="15" t="n">
        <f aca="false">F9-G9</f>
        <v>4308997.76206761</v>
      </c>
      <c r="I9" s="15" t="n">
        <f aca="false">ROUND(E9-H9,2)</f>
        <v>179193319.4</v>
      </c>
    </row>
    <row r="10" customFormat="false" ht="15" hidden="false" customHeight="false" outlineLevel="0" collapsed="false">
      <c r="A10" s="10" t="s">
        <v>164</v>
      </c>
      <c r="B10" s="14" t="n">
        <f aca="false">SUM(G5:G40)</f>
        <v>72347874.0585662</v>
      </c>
      <c r="D10" s="19" t="n">
        <v>6</v>
      </c>
      <c r="E10" s="15" t="n">
        <f aca="false">I9</f>
        <v>179193319.4</v>
      </c>
      <c r="F10" s="15" t="n">
        <f aca="false">$B$8</f>
        <v>7565218.72404681</v>
      </c>
      <c r="G10" s="15" t="n">
        <f aca="false">E10*$B$7</f>
        <v>3179758.44614623</v>
      </c>
      <c r="H10" s="15" t="n">
        <f aca="false">F10-G10</f>
        <v>4385460.27790058</v>
      </c>
      <c r="I10" s="15" t="n">
        <f aca="false">ROUND(E10-H10,2)</f>
        <v>174807859.12</v>
      </c>
    </row>
    <row r="11" customFormat="false" ht="15" hidden="false" customHeight="false" outlineLevel="0" collapsed="false">
      <c r="A11" s="10" t="s">
        <v>165</v>
      </c>
      <c r="B11" s="15" t="n">
        <f aca="false">IPMT(B7,1,B6,-B4)</f>
        <v>3548969.85757409</v>
      </c>
      <c r="D11" s="19" t="n">
        <v>7</v>
      </c>
      <c r="E11" s="15" t="n">
        <f aca="false">I10</f>
        <v>174807859.12</v>
      </c>
      <c r="F11" s="15" t="n">
        <f aca="false">$B$8</f>
        <v>7565218.72404681</v>
      </c>
      <c r="G11" s="15" t="n">
        <f aca="false">E11*$B$7</f>
        <v>3101939.11441969</v>
      </c>
      <c r="H11" s="15" t="n">
        <f aca="false">F11-G11</f>
        <v>4463279.60962712</v>
      </c>
      <c r="I11" s="15" t="n">
        <f aca="false">ROUND(E11-H11,2)</f>
        <v>170344579.51</v>
      </c>
    </row>
    <row r="12" customFormat="false" ht="15" hidden="false" customHeight="false" outlineLevel="0" collapsed="false">
      <c r="A12" s="10" t="s">
        <v>166</v>
      </c>
      <c r="B12" s="15" t="n">
        <f aca="false">PPMT(B7,1,B6,-B4)</f>
        <v>4016248.86647272</v>
      </c>
      <c r="D12" s="19" t="n">
        <v>8</v>
      </c>
      <c r="E12" s="15" t="n">
        <f aca="false">I11</f>
        <v>170344579.51</v>
      </c>
      <c r="F12" s="15" t="n">
        <f aca="false">$B$8</f>
        <v>7565218.72404681</v>
      </c>
      <c r="G12" s="15" t="n">
        <f aca="false">E12*$B$7</f>
        <v>3022738.89041062</v>
      </c>
      <c r="H12" s="15" t="n">
        <f aca="false">F12-G12</f>
        <v>4542479.8336362</v>
      </c>
      <c r="I12" s="15" t="n">
        <f aca="false">ROUND(E12-H12,2)</f>
        <v>165802099.68</v>
      </c>
    </row>
    <row r="13" customFormat="false" ht="15" hidden="false" customHeight="false" outlineLevel="0" collapsed="false">
      <c r="D13" s="19" t="n">
        <v>9</v>
      </c>
      <c r="E13" s="15" t="n">
        <f aca="false">I12</f>
        <v>165802099.68</v>
      </c>
      <c r="F13" s="15" t="n">
        <f aca="false">$B$8</f>
        <v>7565218.72404681</v>
      </c>
      <c r="G13" s="15" t="n">
        <f aca="false">E13*$B$7</f>
        <v>2942133.27043407</v>
      </c>
      <c r="H13" s="15" t="n">
        <f aca="false">F13-G13</f>
        <v>4623085.45361274</v>
      </c>
      <c r="I13" s="15" t="n">
        <f aca="false">ROUND(E13-H13,2)</f>
        <v>161179014.23</v>
      </c>
    </row>
    <row r="14" customFormat="false" ht="15" hidden="false" customHeight="false" outlineLevel="0" collapsed="false">
      <c r="D14" s="19" t="n">
        <v>10</v>
      </c>
      <c r="E14" s="15" t="n">
        <f aca="false">I13</f>
        <v>161179014.23</v>
      </c>
      <c r="F14" s="15" t="n">
        <f aca="false">$B$8</f>
        <v>7565218.72404681</v>
      </c>
      <c r="G14" s="15" t="n">
        <f aca="false">E14*$B$7</f>
        <v>2860097.31587888</v>
      </c>
      <c r="H14" s="15" t="n">
        <f aca="false">F14-G14</f>
        <v>4705121.40816793</v>
      </c>
      <c r="I14" s="15" t="n">
        <f aca="false">ROUND(E14-H14,2)</f>
        <v>156473892.82</v>
      </c>
    </row>
    <row r="15" customFormat="false" ht="15" hidden="false" customHeight="false" outlineLevel="0" collapsed="false">
      <c r="D15" s="19" t="n">
        <v>11</v>
      </c>
      <c r="E15" s="15" t="n">
        <f aca="false">I14</f>
        <v>156473892.82</v>
      </c>
      <c r="F15" s="15" t="n">
        <f aca="false">$B$8</f>
        <v>7565218.72404681</v>
      </c>
      <c r="G15" s="15" t="n">
        <f aca="false">E15*$B$7</f>
        <v>2776605.6455773</v>
      </c>
      <c r="H15" s="15" t="n">
        <f aca="false">F15-G15</f>
        <v>4788613.07846952</v>
      </c>
      <c r="I15" s="15" t="n">
        <f aca="false">ROUND(E15-H15,2)</f>
        <v>151685279.74</v>
      </c>
    </row>
    <row r="16" customFormat="false" ht="15" hidden="false" customHeight="false" outlineLevel="0" collapsed="false">
      <c r="D16" s="19" t="n">
        <v>12</v>
      </c>
      <c r="E16" s="15" t="n">
        <f aca="false">I15</f>
        <v>151685279.74</v>
      </c>
      <c r="F16" s="15" t="n">
        <f aca="false">$B$8</f>
        <v>7565218.72404681</v>
      </c>
      <c r="G16" s="15" t="n">
        <f aca="false">E16*$B$7</f>
        <v>2691632.42817477</v>
      </c>
      <c r="H16" s="15" t="n">
        <f aca="false">F16-G16</f>
        <v>4873586.29587204</v>
      </c>
      <c r="I16" s="15" t="n">
        <f aca="false">ROUND(E16-H16,2)</f>
        <v>146811693.44</v>
      </c>
    </row>
    <row r="17" customFormat="false" ht="15" hidden="false" customHeight="false" outlineLevel="0" collapsed="false">
      <c r="D17" s="19" t="n">
        <v>13</v>
      </c>
      <c r="E17" s="15" t="n">
        <f aca="false">I16</f>
        <v>146811693.44</v>
      </c>
      <c r="F17" s="15" t="n">
        <f aca="false">$B$8</f>
        <v>7565218.72404681</v>
      </c>
      <c r="G17" s="15" t="n">
        <f aca="false">E17*$B$7</f>
        <v>2605151.37378984</v>
      </c>
      <c r="H17" s="15" t="n">
        <f aca="false">F17-G17</f>
        <v>4960067.35025697</v>
      </c>
      <c r="I17" s="15" t="n">
        <f aca="false">ROUND(E17-H17,2)</f>
        <v>141851626.09</v>
      </c>
    </row>
    <row r="18" customFormat="false" ht="15" hidden="false" customHeight="false" outlineLevel="0" collapsed="false">
      <c r="D18" s="19" t="n">
        <v>14</v>
      </c>
      <c r="E18" s="15" t="n">
        <f aca="false">I17</f>
        <v>141851626.09</v>
      </c>
      <c r="F18" s="15" t="n">
        <f aca="false">$B$8</f>
        <v>7565218.72404681</v>
      </c>
      <c r="G18" s="15" t="n">
        <f aca="false">E18*$B$7</f>
        <v>2517135.7262064</v>
      </c>
      <c r="H18" s="15" t="n">
        <f aca="false">F18-G18</f>
        <v>5048082.99784041</v>
      </c>
      <c r="I18" s="15" t="n">
        <f aca="false">ROUND(E18-H18,2)</f>
        <v>136803543.09</v>
      </c>
    </row>
    <row r="19" customFormat="false" ht="15" hidden="false" customHeight="false" outlineLevel="0" collapsed="false">
      <c r="D19" s="19" t="n">
        <v>15</v>
      </c>
      <c r="E19" s="15" t="n">
        <f aca="false">I18</f>
        <v>136803543.09</v>
      </c>
      <c r="F19" s="15" t="n">
        <f aca="false">$B$8</f>
        <v>7565218.72404681</v>
      </c>
      <c r="G19" s="15" t="n">
        <f aca="false">E19*$B$7</f>
        <v>2427558.25417874</v>
      </c>
      <c r="H19" s="15" t="n">
        <f aca="false">F19-G19</f>
        <v>5137660.46986807</v>
      </c>
      <c r="I19" s="15" t="n">
        <f aca="false">ROUND(E19-H19,2)</f>
        <v>131665882.62</v>
      </c>
    </row>
    <row r="20" customFormat="false" ht="15" hidden="false" customHeight="false" outlineLevel="0" collapsed="false">
      <c r="D20" s="19" t="n">
        <v>16</v>
      </c>
      <c r="E20" s="15" t="n">
        <f aca="false">I19</f>
        <v>131665882.62</v>
      </c>
      <c r="F20" s="15" t="n">
        <f aca="false">$B$8</f>
        <v>7565218.72404681</v>
      </c>
      <c r="G20" s="15" t="n">
        <f aca="false">E20*$B$7</f>
        <v>2336391.24344634</v>
      </c>
      <c r="H20" s="15" t="n">
        <f aca="false">F20-G20</f>
        <v>5228827.48060047</v>
      </c>
      <c r="I20" s="15" t="n">
        <f aca="false">ROUND(E20-H20,2)</f>
        <v>126437055.14</v>
      </c>
    </row>
    <row r="21" customFormat="false" ht="15" hidden="false" customHeight="false" outlineLevel="0" collapsed="false">
      <c r="D21" s="19" t="n">
        <v>17</v>
      </c>
      <c r="E21" s="15" t="n">
        <f aca="false">I20</f>
        <v>126437055.14</v>
      </c>
      <c r="F21" s="15" t="n">
        <f aca="false">$B$8</f>
        <v>7565218.72404681</v>
      </c>
      <c r="G21" s="15" t="n">
        <f aca="false">E21*$B$7</f>
        <v>2243606.48786147</v>
      </c>
      <c r="H21" s="15" t="n">
        <f aca="false">F21-G21</f>
        <v>5321612.23618535</v>
      </c>
      <c r="I21" s="15" t="n">
        <f aca="false">ROUND(E21-H21,2)</f>
        <v>121115442.9</v>
      </c>
    </row>
    <row r="22" customFormat="false" ht="15" hidden="false" customHeight="false" outlineLevel="0" collapsed="false">
      <c r="D22" s="19" t="n">
        <v>18</v>
      </c>
      <c r="E22" s="15" t="n">
        <f aca="false">I21</f>
        <v>121115442.9</v>
      </c>
      <c r="F22" s="15" t="n">
        <f aca="false">$B$8</f>
        <v>7565218.72404681</v>
      </c>
      <c r="G22" s="15" t="n">
        <f aca="false">E22*$B$7</f>
        <v>2149175.28069418</v>
      </c>
      <c r="H22" s="15" t="n">
        <f aca="false">F22-G22</f>
        <v>5416043.44335263</v>
      </c>
      <c r="I22" s="15" t="n">
        <f aca="false">ROUND(E22-H22,2)</f>
        <v>115699399.46</v>
      </c>
    </row>
    <row r="23" customFormat="false" ht="15" hidden="false" customHeight="false" outlineLevel="0" collapsed="false">
      <c r="D23" s="19" t="n">
        <v>19</v>
      </c>
      <c r="E23" s="15" t="n">
        <f aca="false">I22</f>
        <v>115699399.46</v>
      </c>
      <c r="F23" s="15" t="n">
        <f aca="false">$B$8</f>
        <v>7565218.72404681</v>
      </c>
      <c r="G23" s="15" t="n">
        <f aca="false">E23*$B$7</f>
        <v>2053068.40611482</v>
      </c>
      <c r="H23" s="15" t="n">
        <f aca="false">F23-G23</f>
        <v>5512150.31793199</v>
      </c>
      <c r="I23" s="15" t="n">
        <f aca="false">ROUND(E23-H23,2)</f>
        <v>110187249.14</v>
      </c>
    </row>
    <row r="24" customFormat="false" ht="15" hidden="false" customHeight="false" outlineLevel="0" collapsed="false">
      <c r="D24" s="19" t="n">
        <v>20</v>
      </c>
      <c r="E24" s="15" t="n">
        <f aca="false">I23</f>
        <v>110187249.14</v>
      </c>
      <c r="F24" s="15" t="n">
        <f aca="false">$B$8</f>
        <v>7565218.72404681</v>
      </c>
      <c r="G24" s="15" t="n">
        <f aca="false">E24*$B$7</f>
        <v>1955256.12943433</v>
      </c>
      <c r="H24" s="15" t="n">
        <f aca="false">F24-G24</f>
        <v>5609962.59461248</v>
      </c>
      <c r="I24" s="15" t="n">
        <f aca="false">ROUND(E24-H24,2)</f>
        <v>104577286.55</v>
      </c>
    </row>
    <row r="25" customFormat="false" ht="15" hidden="false" customHeight="false" outlineLevel="0" collapsed="false">
      <c r="D25" s="19" t="n">
        <v>21</v>
      </c>
      <c r="E25" s="15" t="n">
        <f aca="false">I24</f>
        <v>104577286.55</v>
      </c>
      <c r="F25" s="15" t="n">
        <f aca="false">$B$8</f>
        <v>7565218.72404681</v>
      </c>
      <c r="G25" s="15" t="n">
        <f aca="false">E25*$B$7</f>
        <v>1855708.18876419</v>
      </c>
      <c r="H25" s="15" t="n">
        <f aca="false">F25-G25</f>
        <v>5709510.53528262</v>
      </c>
      <c r="I25" s="15" t="n">
        <f aca="false">ROUND(E25-H25,2)</f>
        <v>98867776.01</v>
      </c>
    </row>
    <row r="26" customFormat="false" ht="15" hidden="false" customHeight="false" outlineLevel="0" collapsed="false">
      <c r="D26" s="19" t="n">
        <v>22</v>
      </c>
      <c r="E26" s="15" t="n">
        <f aca="false">I25</f>
        <v>98867776.01</v>
      </c>
      <c r="F26" s="15" t="n">
        <f aca="false">$B$8</f>
        <v>7565218.72404681</v>
      </c>
      <c r="G26" s="15" t="n">
        <f aca="false">E26*$B$7</f>
        <v>1754393.78472438</v>
      </c>
      <c r="H26" s="15" t="n">
        <f aca="false">F26-G26</f>
        <v>5810824.93932243</v>
      </c>
      <c r="I26" s="15" t="n">
        <f aca="false">ROUND(E26-H26,2)</f>
        <v>93056951.07</v>
      </c>
    </row>
    <row r="27" customFormat="false" ht="15" hidden="false" customHeight="false" outlineLevel="0" collapsed="false">
      <c r="D27" s="19" t="n">
        <v>23</v>
      </c>
      <c r="E27" s="15" t="n">
        <f aca="false">I26</f>
        <v>93056951.07</v>
      </c>
      <c r="F27" s="15" t="n">
        <f aca="false">$B$8</f>
        <v>7565218.72404681</v>
      </c>
      <c r="G27" s="15" t="n">
        <f aca="false">E27*$B$7</f>
        <v>1651281.57192589</v>
      </c>
      <c r="H27" s="15" t="n">
        <f aca="false">F27-G27</f>
        <v>5913937.15212093</v>
      </c>
      <c r="I27" s="15" t="n">
        <f aca="false">ROUND(E27-H27,2)</f>
        <v>87143013.92</v>
      </c>
    </row>
    <row r="28" customFormat="false" ht="15" hidden="false" customHeight="false" outlineLevel="0" collapsed="false">
      <c r="D28" s="19" t="n">
        <v>24</v>
      </c>
      <c r="E28" s="15" t="n">
        <f aca="false">I27</f>
        <v>87143013.92</v>
      </c>
      <c r="F28" s="15" t="n">
        <f aca="false">$B$8</f>
        <v>7565218.72404681</v>
      </c>
      <c r="G28" s="15" t="n">
        <f aca="false">E28*$B$7</f>
        <v>1546339.6485012</v>
      </c>
      <c r="H28" s="15" t="n">
        <f aca="false">F28-G28</f>
        <v>6018879.07554562</v>
      </c>
      <c r="I28" s="15" t="n">
        <f aca="false">ROUND(E28-H28,2)</f>
        <v>81124134.84</v>
      </c>
    </row>
    <row r="29" customFormat="false" ht="15" hidden="false" customHeight="false" outlineLevel="0" collapsed="false">
      <c r="D29" s="19" t="n">
        <v>25</v>
      </c>
      <c r="E29" s="15" t="n">
        <f aca="false">I28</f>
        <v>81124134.84</v>
      </c>
      <c r="F29" s="15" t="n">
        <f aca="false">$B$8</f>
        <v>7565218.72404681</v>
      </c>
      <c r="G29" s="15" t="n">
        <f aca="false">E29*$B$7</f>
        <v>1439535.54634468</v>
      </c>
      <c r="H29" s="15" t="n">
        <f aca="false">F29-G29</f>
        <v>6125683.17770213</v>
      </c>
      <c r="I29" s="15" t="n">
        <f aca="false">ROUND(E29-H29,2)</f>
        <v>74998451.66</v>
      </c>
    </row>
    <row r="30" customFormat="false" ht="15" hidden="false" customHeight="false" outlineLevel="0" collapsed="false">
      <c r="D30" s="19" t="n">
        <v>26</v>
      </c>
      <c r="E30" s="15" t="n">
        <f aca="false">I29</f>
        <v>74998451.66</v>
      </c>
      <c r="F30" s="15" t="n">
        <f aca="false">$B$8</f>
        <v>7565218.72404681</v>
      </c>
      <c r="G30" s="15" t="n">
        <f aca="false">E30*$B$7</f>
        <v>1330836.22153034</v>
      </c>
      <c r="H30" s="15" t="n">
        <f aca="false">F30-G30</f>
        <v>6234382.50251647</v>
      </c>
      <c r="I30" s="15" t="n">
        <f aca="false">ROUND(E30-H30,2)</f>
        <v>68764069.16</v>
      </c>
    </row>
    <row r="31" customFormat="false" ht="15" hidden="false" customHeight="false" outlineLevel="0" collapsed="false">
      <c r="D31" s="19" t="n">
        <v>27</v>
      </c>
      <c r="E31" s="15" t="n">
        <f aca="false">I30</f>
        <v>68764069.16</v>
      </c>
      <c r="F31" s="15" t="n">
        <f aca="false">$B$8</f>
        <v>7565218.72404681</v>
      </c>
      <c r="G31" s="15" t="n">
        <f aca="false">E31*$B$7</f>
        <v>1220208.0436649</v>
      </c>
      <c r="H31" s="15" t="n">
        <f aca="false">F31-G31</f>
        <v>6345010.68038191</v>
      </c>
      <c r="I31" s="15" t="n">
        <f aca="false">ROUND(E31-H31,2)</f>
        <v>62419058.48</v>
      </c>
    </row>
    <row r="32" customFormat="false" ht="15" hidden="false" customHeight="false" outlineLevel="0" collapsed="false">
      <c r="D32" s="19" t="n">
        <v>28</v>
      </c>
      <c r="E32" s="15" t="n">
        <f aca="false">I31</f>
        <v>62419058.48</v>
      </c>
      <c r="F32" s="15" t="n">
        <f aca="false">$B$8</f>
        <v>7565218.72404681</v>
      </c>
      <c r="G32" s="15" t="n">
        <f aca="false">E32*$B$7</f>
        <v>1107616.78541837</v>
      </c>
      <c r="H32" s="15" t="n">
        <f aca="false">F32-G32</f>
        <v>6457601.93862844</v>
      </c>
      <c r="I32" s="15" t="n">
        <f aca="false">ROUND(E32-H32,2)</f>
        <v>55961456.54</v>
      </c>
    </row>
    <row r="33" customFormat="false" ht="15" hidden="false" customHeight="false" outlineLevel="0" collapsed="false">
      <c r="D33" s="19" t="n">
        <v>29</v>
      </c>
      <c r="E33" s="15" t="n">
        <f aca="false">I32</f>
        <v>55961456.54</v>
      </c>
      <c r="F33" s="15" t="n">
        <f aca="false">$B$8</f>
        <v>7565218.72404681</v>
      </c>
      <c r="G33" s="15" t="n">
        <f aca="false">E33*$B$7</f>
        <v>993027.612232012</v>
      </c>
      <c r="H33" s="15" t="n">
        <f aca="false">F33-G33</f>
        <v>6572191.1118148</v>
      </c>
      <c r="I33" s="15" t="n">
        <f aca="false">ROUND(E33-H33,2)</f>
        <v>49389265.43</v>
      </c>
    </row>
    <row r="34" customFormat="false" ht="15" hidden="false" customHeight="false" outlineLevel="0" collapsed="false">
      <c r="D34" s="19" t="n">
        <v>30</v>
      </c>
      <c r="E34" s="15" t="n">
        <f aca="false">I33</f>
        <v>49389265.43</v>
      </c>
      <c r="F34" s="15" t="n">
        <f aca="false">$B$8</f>
        <v>7565218.72404681</v>
      </c>
      <c r="G34" s="15" t="n">
        <f aca="false">E34*$B$7</f>
        <v>876405.071493981</v>
      </c>
      <c r="H34" s="15" t="n">
        <f aca="false">F34-G34</f>
        <v>6688813.65255283</v>
      </c>
      <c r="I34" s="15" t="n">
        <f aca="false">ROUND(E34-H34,2)</f>
        <v>42700451.78</v>
      </c>
    </row>
    <row r="35" customFormat="false" ht="15" hidden="false" customHeight="false" outlineLevel="0" collapsed="false">
      <c r="D35" s="19" t="n">
        <v>31</v>
      </c>
      <c r="E35" s="15" t="n">
        <f aca="false">I34</f>
        <v>42700451.78</v>
      </c>
      <c r="F35" s="15" t="n">
        <f aca="false">$B$8</f>
        <v>7565218.72404681</v>
      </c>
      <c r="G35" s="15" t="n">
        <f aca="false">E35*$B$7</f>
        <v>757713.08136008</v>
      </c>
      <c r="H35" s="15" t="n">
        <f aca="false">F35-G35</f>
        <v>6807505.64268673</v>
      </c>
      <c r="I35" s="15" t="n">
        <f aca="false">ROUND(E35-H35,2)</f>
        <v>35892946.14</v>
      </c>
    </row>
    <row r="36" customFormat="false" ht="15" hidden="false" customHeight="false" outlineLevel="0" collapsed="false">
      <c r="D36" s="19" t="n">
        <v>32</v>
      </c>
      <c r="E36" s="15" t="n">
        <f aca="false">I35</f>
        <v>35892946.14</v>
      </c>
      <c r="F36" s="15" t="n">
        <f aca="false">$B$8</f>
        <v>7565218.72404681</v>
      </c>
      <c r="G36" s="15" t="n">
        <f aca="false">E36*$B$7</f>
        <v>636914.919751952</v>
      </c>
      <c r="H36" s="15" t="n">
        <f aca="false">F36-G36</f>
        <v>6928303.80429486</v>
      </c>
      <c r="I36" s="15" t="n">
        <f aca="false">ROUND(E36-H36,2)</f>
        <v>28964642.34</v>
      </c>
    </row>
    <row r="37" customFormat="false" ht="15" hidden="false" customHeight="false" outlineLevel="0" collapsed="false">
      <c r="D37" s="19" t="n">
        <v>33</v>
      </c>
      <c r="E37" s="15" t="n">
        <f aca="false">I36</f>
        <v>28964642.34</v>
      </c>
      <c r="F37" s="15" t="n">
        <f aca="false">$B$8</f>
        <v>7565218.72404681</v>
      </c>
      <c r="G37" s="15" t="n">
        <f aca="false">E37*$B$7</f>
        <v>513973.213000371</v>
      </c>
      <c r="H37" s="15" t="n">
        <f aca="false">F37-G37</f>
        <v>7051245.51104644</v>
      </c>
      <c r="I37" s="15" t="n">
        <f aca="false">ROUND(E37-H37,2)</f>
        <v>21913396.83</v>
      </c>
    </row>
    <row r="38" customFormat="false" ht="15" hidden="false" customHeight="false" outlineLevel="0" collapsed="false">
      <c r="D38" s="19" t="n">
        <v>34</v>
      </c>
      <c r="E38" s="15" t="n">
        <f aca="false">I37</f>
        <v>21913396.83</v>
      </c>
      <c r="F38" s="15" t="n">
        <f aca="false">$B$8</f>
        <v>7565218.72404681</v>
      </c>
      <c r="G38" s="15" t="n">
        <f aca="false">E38*$B$7</f>
        <v>388849.924133648</v>
      </c>
      <c r="H38" s="15" t="n">
        <f aca="false">F38-G38</f>
        <v>7176368.79991316</v>
      </c>
      <c r="I38" s="15" t="n">
        <f aca="false">ROUND(E38-H38,2)</f>
        <v>14737028.03</v>
      </c>
    </row>
    <row r="39" customFormat="false" ht="15" hidden="false" customHeight="false" outlineLevel="0" collapsed="false">
      <c r="D39" s="19" t="n">
        <v>35</v>
      </c>
      <c r="E39" s="15" t="n">
        <f aca="false">I38</f>
        <v>14737028.03</v>
      </c>
      <c r="F39" s="15" t="n">
        <f aca="false">$B$8</f>
        <v>7565218.72404681</v>
      </c>
      <c r="G39" s="15" t="n">
        <f aca="false">E39*$B$7</f>
        <v>261506.341343472</v>
      </c>
      <c r="H39" s="15" t="n">
        <f aca="false">F39-G39</f>
        <v>7303712.38270334</v>
      </c>
      <c r="I39" s="15" t="n">
        <f aca="false">ROUND(E39-H39,2)</f>
        <v>7433315.65</v>
      </c>
    </row>
    <row r="40" customFormat="false" ht="15" hidden="false" customHeight="false" outlineLevel="0" collapsed="false">
      <c r="D40" s="19" t="n">
        <v>36</v>
      </c>
      <c r="E40" s="15" t="n">
        <f aca="false">I39</f>
        <v>7433315.65</v>
      </c>
      <c r="F40" s="15" t="n">
        <f aca="false">$B$8</f>
        <v>7565218.72404681</v>
      </c>
      <c r="G40" s="15" t="n">
        <f aca="false">E40*$B$7</f>
        <v>131903.065918419</v>
      </c>
      <c r="H40" s="15" t="n">
        <f aca="false">F40-G40</f>
        <v>7433315.65812839</v>
      </c>
      <c r="I40" s="15" t="n">
        <f aca="false">ROUND(E40-H40,2)</f>
        <v>-0.01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AB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8"/>
    <col collapsed="false" customWidth="true" hidden="false" outlineLevel="0" max="5" min="5" style="0" width="4"/>
    <col collapsed="false" customWidth="true" hidden="false" outlineLevel="0" max="6" min="6" style="0" width="7"/>
    <col collapsed="false" customWidth="true" hidden="false" outlineLevel="0" max="7" min="7" style="0" width="15"/>
    <col collapsed="false" customWidth="true" hidden="false" outlineLevel="0" max="9" min="8" style="0" width="14"/>
    <col collapsed="false" customWidth="true" hidden="false" outlineLevel="0" max="10" min="10" style="0" width="15"/>
    <col collapsed="false" customWidth="true" hidden="false" outlineLevel="0" max="11" min="11" style="0" width="2"/>
    <col collapsed="false" customWidth="true" hidden="false" outlineLevel="0" max="12" min="12" style="0" width="7"/>
    <col collapsed="false" customWidth="true" hidden="false" outlineLevel="0" max="13" min="13" style="0" width="15"/>
    <col collapsed="false" customWidth="true" hidden="false" outlineLevel="0" max="15" min="14" style="0" width="14"/>
    <col collapsed="false" customWidth="true" hidden="false" outlineLevel="0" max="16" min="16" style="0" width="15"/>
    <col collapsed="false" customWidth="true" hidden="false" outlineLevel="0" max="17" min="17" style="0" width="2"/>
    <col collapsed="false" customWidth="true" hidden="false" outlineLevel="0" max="18" min="18" style="0" width="7"/>
    <col collapsed="false" customWidth="true" hidden="false" outlineLevel="0" max="19" min="19" style="0" width="15"/>
    <col collapsed="false" customWidth="true" hidden="false" outlineLevel="0" max="21" min="20" style="0" width="14"/>
    <col collapsed="false" customWidth="true" hidden="false" outlineLevel="0" max="22" min="22" style="0" width="15"/>
    <col collapsed="false" customWidth="true" hidden="false" outlineLevel="0" max="23" min="23" style="0" width="2"/>
    <col collapsed="false" customWidth="true" hidden="false" outlineLevel="0" max="24" min="24" style="0" width="7"/>
    <col collapsed="false" customWidth="true" hidden="false" outlineLevel="0" max="25" min="25" style="0" width="15"/>
    <col collapsed="false" customWidth="true" hidden="false" outlineLevel="0" max="27" min="26" style="0" width="14"/>
    <col collapsed="false" customWidth="true" hidden="false" outlineLevel="0" max="28" min="28" style="0" width="15"/>
    <col collapsed="false" customWidth="true" hidden="false" outlineLevel="0" max="29" min="29" style="0" width="2"/>
  </cols>
  <sheetData>
    <row r="1" customFormat="false" ht="17.35" hidden="false" customHeight="false" outlineLevel="0" collapsed="false">
      <c r="A1" s="1" t="s">
        <v>167</v>
      </c>
    </row>
    <row r="2" customFormat="false" ht="15" hidden="false" customHeight="false" outlineLevel="0" collapsed="false">
      <c r="A2" s="2" t="s">
        <v>168</v>
      </c>
    </row>
    <row r="4" customFormat="false" ht="15" hidden="false" customHeight="false" outlineLevel="0" collapsed="false">
      <c r="A4" s="10" t="s">
        <v>169</v>
      </c>
      <c r="B4" s="24" t="n">
        <f aca="false">S3_Cuota_fija!B4</f>
        <v>200000000</v>
      </c>
    </row>
    <row r="5" customFormat="false" ht="15" hidden="false" customHeight="false" outlineLevel="0" collapsed="false">
      <c r="A5" s="10" t="s">
        <v>84</v>
      </c>
      <c r="B5" s="25" t="n">
        <f aca="false">S3_Cuota_fija!B7</f>
        <v>0.0177448492878705</v>
      </c>
    </row>
    <row r="6" customFormat="false" ht="15" hidden="false" customHeight="false" outlineLevel="0" collapsed="false">
      <c r="A6" s="10" t="s">
        <v>170</v>
      </c>
      <c r="B6" s="13" t="n">
        <v>36</v>
      </c>
    </row>
    <row r="7" customFormat="false" ht="15" hidden="false" customHeight="false" outlineLevel="0" collapsed="false">
      <c r="A7" s="10" t="s">
        <v>171</v>
      </c>
      <c r="B7" s="12" t="n">
        <v>0.01</v>
      </c>
    </row>
    <row r="8" customFormat="false" ht="15" hidden="false" customHeight="false" outlineLevel="0" collapsed="false">
      <c r="A8" s="10" t="s">
        <v>172</v>
      </c>
      <c r="B8" s="13" t="n">
        <v>6</v>
      </c>
    </row>
    <row r="10" customFormat="false" ht="15" hidden="false" customHeight="false" outlineLevel="0" collapsed="false">
      <c r="A10" s="3" t="s">
        <v>173</v>
      </c>
    </row>
    <row r="11" customFormat="false" ht="15" hidden="false" customHeight="false" outlineLevel="0" collapsed="false">
      <c r="A11" s="5" t="s">
        <v>174</v>
      </c>
      <c r="B11" s="5" t="s">
        <v>175</v>
      </c>
      <c r="C11" s="5" t="s">
        <v>176</v>
      </c>
      <c r="D11" s="5" t="s">
        <v>164</v>
      </c>
      <c r="E11" s="5"/>
    </row>
    <row r="12" customFormat="false" ht="15" hidden="false" customHeight="false" outlineLevel="0" collapsed="false">
      <c r="A12" s="10" t="s">
        <v>177</v>
      </c>
      <c r="B12" s="15" t="n">
        <f aca="false">S3_Cuota_fija!B8</f>
        <v>7565218.72404681</v>
      </c>
      <c r="C12" s="15" t="n">
        <f aca="false">S3_Cuota_fija!B8</f>
        <v>7565218.72404681</v>
      </c>
      <c r="D12" s="26" t="n">
        <f aca="false">S3_Cuota_fija!B10</f>
        <v>72347874.0585662</v>
      </c>
    </row>
    <row r="13" customFormat="false" ht="15" hidden="false" customHeight="false" outlineLevel="0" collapsed="false">
      <c r="A13" s="10" t="s">
        <v>178</v>
      </c>
      <c r="B13" s="15" t="n">
        <f aca="false">J22</f>
        <v>9104525.41312965</v>
      </c>
      <c r="C13" s="15" t="n">
        <f aca="false">J57</f>
        <v>5654138.05159928</v>
      </c>
      <c r="D13" s="26" t="n">
        <f aca="false">SUM(H22:H57)</f>
        <v>65655942.3651207</v>
      </c>
    </row>
    <row r="14" customFormat="false" ht="15" hidden="false" customHeight="false" outlineLevel="0" collapsed="false">
      <c r="A14" s="10" t="s">
        <v>179</v>
      </c>
      <c r="B14" s="15" t="n">
        <f aca="false">P22</f>
        <v>6442534.81378431</v>
      </c>
      <c r="C14" s="15" t="n">
        <f aca="false">P57</f>
        <v>9126512.57303425</v>
      </c>
      <c r="D14" s="26" t="n">
        <f aca="false">SUM(N22:N57)</f>
        <v>77524288.4980253</v>
      </c>
    </row>
    <row r="15" customFormat="false" ht="15" hidden="false" customHeight="false" outlineLevel="0" collapsed="false">
      <c r="A15" s="10" t="s">
        <v>180</v>
      </c>
      <c r="B15" s="15" t="n">
        <f aca="false">V22</f>
        <v>3548969.85757409</v>
      </c>
      <c r="C15" s="15" t="n">
        <f aca="false">V57</f>
        <v>8655467.50790693</v>
      </c>
      <c r="D15" s="26" t="n">
        <f aca="false">SUM(T22:T57)</f>
        <v>80957844.3826523</v>
      </c>
    </row>
    <row r="16" customFormat="false" ht="15" hidden="false" customHeight="false" outlineLevel="0" collapsed="false">
      <c r="A16" s="10" t="s">
        <v>181</v>
      </c>
      <c r="B16" s="15" t="n">
        <f aca="false">AB22</f>
        <v>0</v>
      </c>
      <c r="C16" s="15" t="n">
        <f aca="false">AB57</f>
        <v>9618868.98023017</v>
      </c>
      <c r="D16" s="26" t="n">
        <f aca="false">SUM(Z22:Z57)</f>
        <v>88566069.406905</v>
      </c>
    </row>
    <row r="17" customFormat="false" ht="15" hidden="false" customHeight="false" outlineLevel="0" collapsed="false">
      <c r="A17" s="2" t="s">
        <v>182</v>
      </c>
    </row>
    <row r="18" customFormat="false" ht="15" hidden="false" customHeight="false" outlineLevel="0" collapsed="false">
      <c r="A18" s="10" t="s">
        <v>183</v>
      </c>
      <c r="B18" s="15" t="n">
        <f aca="false">NPV($B$5,J22:J57)</f>
        <v>200000000</v>
      </c>
    </row>
    <row r="19" customFormat="false" ht="15" hidden="false" customHeight="false" outlineLevel="0" collapsed="false">
      <c r="A19" s="10" t="s">
        <v>184</v>
      </c>
      <c r="B19" s="15" t="n">
        <f aca="false">NPV($B$5,AB22:AB57)</f>
        <v>200000000</v>
      </c>
    </row>
    <row r="20" customFormat="false" ht="15" hidden="false" customHeight="false" outlineLevel="0" collapsed="false">
      <c r="F20" s="27" t="s">
        <v>178</v>
      </c>
      <c r="L20" s="27" t="s">
        <v>179</v>
      </c>
      <c r="R20" s="27" t="s">
        <v>180</v>
      </c>
      <c r="X20" s="27" t="s">
        <v>181</v>
      </c>
    </row>
    <row r="21" customFormat="false" ht="15" hidden="false" customHeight="false" outlineLevel="0" collapsed="false">
      <c r="F21" s="5" t="s">
        <v>128</v>
      </c>
      <c r="G21" s="5" t="s">
        <v>152</v>
      </c>
      <c r="H21" s="5" t="s">
        <v>154</v>
      </c>
      <c r="I21" s="5" t="s">
        <v>185</v>
      </c>
      <c r="J21" s="5" t="s">
        <v>153</v>
      </c>
      <c r="L21" s="5" t="s">
        <v>128</v>
      </c>
      <c r="M21" s="5" t="s">
        <v>152</v>
      </c>
      <c r="N21" s="5" t="s">
        <v>154</v>
      </c>
      <c r="O21" s="5" t="s">
        <v>185</v>
      </c>
      <c r="P21" s="5" t="s">
        <v>153</v>
      </c>
      <c r="R21" s="5" t="s">
        <v>128</v>
      </c>
      <c r="S21" s="5" t="s">
        <v>152</v>
      </c>
      <c r="T21" s="5" t="s">
        <v>154</v>
      </c>
      <c r="U21" s="5" t="s">
        <v>185</v>
      </c>
      <c r="V21" s="5" t="s">
        <v>153</v>
      </c>
      <c r="X21" s="5" t="s">
        <v>128</v>
      </c>
      <c r="Y21" s="5" t="s">
        <v>152</v>
      </c>
      <c r="Z21" s="5" t="s">
        <v>154</v>
      </c>
      <c r="AA21" s="5" t="s">
        <v>185</v>
      </c>
      <c r="AB21" s="5" t="s">
        <v>153</v>
      </c>
    </row>
    <row r="22" customFormat="false" ht="15" hidden="false" customHeight="false" outlineLevel="0" collapsed="false">
      <c r="F22" s="19" t="n">
        <v>1</v>
      </c>
      <c r="G22" s="15" t="n">
        <f aca="false">$B$4</f>
        <v>200000000</v>
      </c>
      <c r="H22" s="15" t="n">
        <f aca="false">G22*$B$5</f>
        <v>3548969.85757409</v>
      </c>
      <c r="I22" s="15" t="n">
        <f aca="false">$B$4/$B$6</f>
        <v>5555555.55555556</v>
      </c>
      <c r="J22" s="15" t="n">
        <f aca="false">H22+I22</f>
        <v>9104525.41312965</v>
      </c>
      <c r="L22" s="19" t="n">
        <v>1</v>
      </c>
      <c r="M22" s="15" t="n">
        <f aca="false">$B$4</f>
        <v>200000000</v>
      </c>
      <c r="N22" s="15" t="n">
        <f aca="false">M22*$B$5</f>
        <v>3548969.85757409</v>
      </c>
      <c r="O22" s="15" t="n">
        <f aca="false">P22-N22</f>
        <v>2893564.95621022</v>
      </c>
      <c r="P22" s="15" t="n">
        <f aca="false">$B$4*($B$5-$B$7)/(1-((1+$B$7)/(1+$B$5))^$B$6)*(1+$B$7)^(L22-1)</f>
        <v>6442534.81378431</v>
      </c>
      <c r="R22" s="19" t="n">
        <v>1</v>
      </c>
      <c r="S22" s="15" t="n">
        <f aca="false">$B$4</f>
        <v>200000000</v>
      </c>
      <c r="T22" s="15" t="n">
        <f aca="false">S22*$B$5</f>
        <v>3548969.85757409</v>
      </c>
      <c r="U22" s="15" t="n">
        <f aca="false">V22-T22</f>
        <v>0</v>
      </c>
      <c r="V22" s="15" t="n">
        <f aca="false">IF(R22&lt;=$B$8,T22,PMT($B$5,$B$6-$B$8,-$B$4))</f>
        <v>3548969.85757409</v>
      </c>
      <c r="X22" s="19" t="n">
        <v>1</v>
      </c>
      <c r="Y22" s="15" t="n">
        <f aca="false">$B$4</f>
        <v>200000000</v>
      </c>
      <c r="Z22" s="15" t="n">
        <f aca="false">Y22*$B$5</f>
        <v>3548969.85757409</v>
      </c>
      <c r="AA22" s="15" t="n">
        <f aca="false">AB22-Z22</f>
        <v>-3548969.85757409</v>
      </c>
      <c r="AB22" s="15" t="n">
        <f aca="false">IF(X22&lt;=$B$8,0,PMT($B$5,$B$6-$B$8,-$B$4*(1+$B$5)^$B$8))</f>
        <v>0</v>
      </c>
    </row>
    <row r="23" customFormat="false" ht="15" hidden="false" customHeight="false" outlineLevel="0" collapsed="false">
      <c r="F23" s="19" t="n">
        <v>2</v>
      </c>
      <c r="G23" s="15" t="n">
        <f aca="false">G22-I22</f>
        <v>194444444.444444</v>
      </c>
      <c r="H23" s="15" t="n">
        <f aca="false">G23*$B$5</f>
        <v>3450387.36153037</v>
      </c>
      <c r="I23" s="15" t="n">
        <f aca="false">$B$4/$B$6</f>
        <v>5555555.55555556</v>
      </c>
      <c r="J23" s="15" t="n">
        <f aca="false">H23+I23</f>
        <v>9005942.91708592</v>
      </c>
      <c r="L23" s="19" t="n">
        <v>2</v>
      </c>
      <c r="M23" s="15" t="n">
        <f aca="false">M22-O22</f>
        <v>197106435.04379</v>
      </c>
      <c r="N23" s="15" t="n">
        <f aca="false">M23*$B$5</f>
        <v>3497623.98352148</v>
      </c>
      <c r="O23" s="15" t="n">
        <f aca="false">P23-N23</f>
        <v>3009336.17840068</v>
      </c>
      <c r="P23" s="15" t="n">
        <f aca="false">$B$4*($B$5-$B$7)/(1-((1+$B$7)/(1+$B$5))^$B$6)*(1+$B$7)^(L23-1)</f>
        <v>6506960.16192215</v>
      </c>
      <c r="R23" s="19" t="n">
        <v>2</v>
      </c>
      <c r="S23" s="15" t="n">
        <f aca="false">S22-U22</f>
        <v>200000000</v>
      </c>
      <c r="T23" s="15" t="n">
        <f aca="false">S23*$B$5</f>
        <v>3548969.85757409</v>
      </c>
      <c r="U23" s="15" t="n">
        <f aca="false">V23-T23</f>
        <v>0</v>
      </c>
      <c r="V23" s="15" t="n">
        <f aca="false">IF(R23&lt;=$B$8,T23,PMT($B$5,$B$6-$B$8,-$B$4))</f>
        <v>3548969.85757409</v>
      </c>
      <c r="X23" s="19" t="n">
        <v>2</v>
      </c>
      <c r="Y23" s="15" t="n">
        <f aca="false">Y22-AA22</f>
        <v>203548969.857574</v>
      </c>
      <c r="Z23" s="15" t="n">
        <f aca="false">Y23*$B$5</f>
        <v>3611945.79282394</v>
      </c>
      <c r="AA23" s="15" t="n">
        <f aca="false">AB23-Z23</f>
        <v>-3611945.79282394</v>
      </c>
      <c r="AB23" s="15" t="n">
        <f aca="false">IF(X23&lt;=$B$8,0,PMT($B$5,$B$6-$B$8,-$B$4*(1+$B$5)^$B$8))</f>
        <v>0</v>
      </c>
    </row>
    <row r="24" customFormat="false" ht="15" hidden="false" customHeight="false" outlineLevel="0" collapsed="false">
      <c r="F24" s="19" t="n">
        <v>3</v>
      </c>
      <c r="G24" s="15" t="n">
        <f aca="false">G23-I23</f>
        <v>188888888.888889</v>
      </c>
      <c r="H24" s="15" t="n">
        <f aca="false">G24*$B$5</f>
        <v>3351804.86548664</v>
      </c>
      <c r="I24" s="15" t="n">
        <f aca="false">$B$4/$B$6</f>
        <v>5555555.55555556</v>
      </c>
      <c r="J24" s="15" t="n">
        <f aca="false">H24+I24</f>
        <v>8907360.4210422</v>
      </c>
      <c r="L24" s="19" t="n">
        <v>3</v>
      </c>
      <c r="M24" s="15" t="n">
        <f aca="false">M23-O23</f>
        <v>194097098.865389</v>
      </c>
      <c r="N24" s="15" t="n">
        <f aca="false">M24*$B$5</f>
        <v>3444223.76657922</v>
      </c>
      <c r="O24" s="15" t="n">
        <f aca="false">P24-N24</f>
        <v>3127805.99696215</v>
      </c>
      <c r="P24" s="15" t="n">
        <f aca="false">$B$4*($B$5-$B$7)/(1-((1+$B$7)/(1+$B$5))^$B$6)*(1+$B$7)^(L24-1)</f>
        <v>6572029.76354138</v>
      </c>
      <c r="R24" s="19" t="n">
        <v>3</v>
      </c>
      <c r="S24" s="15" t="n">
        <f aca="false">S23-U23</f>
        <v>200000000</v>
      </c>
      <c r="T24" s="15" t="n">
        <f aca="false">S24*$B$5</f>
        <v>3548969.85757409</v>
      </c>
      <c r="U24" s="15" t="n">
        <f aca="false">V24-T24</f>
        <v>0</v>
      </c>
      <c r="V24" s="15" t="n">
        <f aca="false">IF(R24&lt;=$B$8,T24,PMT($B$5,$B$6-$B$8,-$B$4))</f>
        <v>3548969.85757409</v>
      </c>
      <c r="X24" s="19" t="n">
        <v>3</v>
      </c>
      <c r="Y24" s="15" t="n">
        <f aca="false">Y23-AA23</f>
        <v>207160915.650398</v>
      </c>
      <c r="Z24" s="15" t="n">
        <f aca="false">Y24*$B$5</f>
        <v>3676039.22655356</v>
      </c>
      <c r="AA24" s="15" t="n">
        <f aca="false">AB24-Z24</f>
        <v>-3676039.22655356</v>
      </c>
      <c r="AB24" s="15" t="n">
        <f aca="false">IF(X24&lt;=$B$8,0,PMT($B$5,$B$6-$B$8,-$B$4*(1+$B$5)^$B$8))</f>
        <v>0</v>
      </c>
    </row>
    <row r="25" customFormat="false" ht="15" hidden="false" customHeight="false" outlineLevel="0" collapsed="false">
      <c r="F25" s="19" t="n">
        <v>4</v>
      </c>
      <c r="G25" s="15" t="n">
        <f aca="false">G24-I24</f>
        <v>183333333.333333</v>
      </c>
      <c r="H25" s="15" t="n">
        <f aca="false">G25*$B$5</f>
        <v>3253222.36944292</v>
      </c>
      <c r="I25" s="15" t="n">
        <f aca="false">$B$4/$B$6</f>
        <v>5555555.55555556</v>
      </c>
      <c r="J25" s="15" t="n">
        <f aca="false">H25+I25</f>
        <v>8808777.92499847</v>
      </c>
      <c r="L25" s="19" t="n">
        <v>4</v>
      </c>
      <c r="M25" s="15" t="n">
        <f aca="false">M24-O24</f>
        <v>190969292.868427</v>
      </c>
      <c r="N25" s="15" t="n">
        <f aca="false">M25*$B$5</f>
        <v>3388721.32056143</v>
      </c>
      <c r="O25" s="15" t="n">
        <f aca="false">P25-N25</f>
        <v>3249028.74061536</v>
      </c>
      <c r="P25" s="15" t="n">
        <f aca="false">$B$4*($B$5-$B$7)/(1-((1+$B$7)/(1+$B$5))^$B$6)*(1+$B$7)^(L25-1)</f>
        <v>6637750.06117679</v>
      </c>
      <c r="R25" s="19" t="n">
        <v>4</v>
      </c>
      <c r="S25" s="15" t="n">
        <f aca="false">S24-U24</f>
        <v>200000000</v>
      </c>
      <c r="T25" s="15" t="n">
        <f aca="false">S25*$B$5</f>
        <v>3548969.85757409</v>
      </c>
      <c r="U25" s="15" t="n">
        <f aca="false">V25-T25</f>
        <v>0</v>
      </c>
      <c r="V25" s="15" t="n">
        <f aca="false">IF(R25&lt;=$B$8,T25,PMT($B$5,$B$6-$B$8,-$B$4))</f>
        <v>3548969.85757409</v>
      </c>
      <c r="X25" s="19" t="n">
        <v>4</v>
      </c>
      <c r="Y25" s="15" t="n">
        <f aca="false">Y24-AA24</f>
        <v>210836954.876952</v>
      </c>
      <c r="Z25" s="15" t="n">
        <f aca="false">Y25*$B$5</f>
        <v>3741269.98860505</v>
      </c>
      <c r="AA25" s="15" t="n">
        <f aca="false">AB25-Z25</f>
        <v>-3741269.98860505</v>
      </c>
      <c r="AB25" s="15" t="n">
        <f aca="false">IF(X25&lt;=$B$8,0,PMT($B$5,$B$6-$B$8,-$B$4*(1+$B$5)^$B$8))</f>
        <v>0</v>
      </c>
    </row>
    <row r="26" customFormat="false" ht="15" hidden="false" customHeight="false" outlineLevel="0" collapsed="false">
      <c r="F26" s="19" t="n">
        <v>5</v>
      </c>
      <c r="G26" s="15" t="n">
        <f aca="false">G25-I25</f>
        <v>177777777.777778</v>
      </c>
      <c r="H26" s="15" t="n">
        <f aca="false">G26*$B$5</f>
        <v>3154639.87339919</v>
      </c>
      <c r="I26" s="15" t="n">
        <f aca="false">$B$4/$B$6</f>
        <v>5555555.55555556</v>
      </c>
      <c r="J26" s="15" t="n">
        <f aca="false">H26+I26</f>
        <v>8710195.42895475</v>
      </c>
      <c r="L26" s="19" t="n">
        <v>5</v>
      </c>
      <c r="M26" s="15" t="n">
        <f aca="false">M25-O25</f>
        <v>187720264.127812</v>
      </c>
      <c r="N26" s="15" t="n">
        <f aca="false">M26*$B$5</f>
        <v>3331067.79522725</v>
      </c>
      <c r="O26" s="15" t="n">
        <f aca="false">P26-N26</f>
        <v>3373059.76656131</v>
      </c>
      <c r="P26" s="15" t="n">
        <f aca="false">$B$4*($B$5-$B$7)/(1-((1+$B$7)/(1+$B$5))^$B$6)*(1+$B$7)^(L26-1)</f>
        <v>6704127.56178856</v>
      </c>
      <c r="R26" s="19" t="n">
        <v>5</v>
      </c>
      <c r="S26" s="15" t="n">
        <f aca="false">S25-U25</f>
        <v>200000000</v>
      </c>
      <c r="T26" s="15" t="n">
        <f aca="false">S26*$B$5</f>
        <v>3548969.85757409</v>
      </c>
      <c r="U26" s="15" t="n">
        <f aca="false">V26-T26</f>
        <v>0</v>
      </c>
      <c r="V26" s="15" t="n">
        <f aca="false">IF(R26&lt;=$B$8,T26,PMT($B$5,$B$6-$B$8,-$B$4))</f>
        <v>3548969.85757409</v>
      </c>
      <c r="X26" s="19" t="n">
        <v>5</v>
      </c>
      <c r="Y26" s="15" t="n">
        <f aca="false">Y25-AA25</f>
        <v>214578224.865557</v>
      </c>
      <c r="Z26" s="15" t="n">
        <f aca="false">Y26*$B$5</f>
        <v>3807658.26069808</v>
      </c>
      <c r="AA26" s="15" t="n">
        <f aca="false">AB26-Z26</f>
        <v>-3807658.26069808</v>
      </c>
      <c r="AB26" s="15" t="n">
        <f aca="false">IF(X26&lt;=$B$8,0,PMT($B$5,$B$6-$B$8,-$B$4*(1+$B$5)^$B$8))</f>
        <v>0</v>
      </c>
    </row>
    <row r="27" customFormat="false" ht="15" hidden="false" customHeight="false" outlineLevel="0" collapsed="false">
      <c r="F27" s="19" t="n">
        <v>6</v>
      </c>
      <c r="G27" s="15" t="n">
        <f aca="false">G26-I26</f>
        <v>172222222.222222</v>
      </c>
      <c r="H27" s="15" t="n">
        <f aca="false">G27*$B$5</f>
        <v>3056057.37735547</v>
      </c>
      <c r="I27" s="15" t="n">
        <f aca="false">$B$4/$B$6</f>
        <v>5555555.55555556</v>
      </c>
      <c r="J27" s="15" t="n">
        <f aca="false">H27+I27</f>
        <v>8611612.93291102</v>
      </c>
      <c r="L27" s="19" t="n">
        <v>6</v>
      </c>
      <c r="M27" s="15" t="n">
        <f aca="false">M26-O26</f>
        <v>184347204.36125</v>
      </c>
      <c r="N27" s="15" t="n">
        <f aca="false">M27*$B$5</f>
        <v>3271213.35803064</v>
      </c>
      <c r="O27" s="15" t="n">
        <f aca="false">P27-N27</f>
        <v>3499955.4793758</v>
      </c>
      <c r="P27" s="15" t="n">
        <f aca="false">$B$4*($B$5-$B$7)/(1-((1+$B$7)/(1+$B$5))^$B$6)*(1+$B$7)^(L27-1)</f>
        <v>6771168.83740644</v>
      </c>
      <c r="R27" s="19" t="n">
        <v>6</v>
      </c>
      <c r="S27" s="15" t="n">
        <f aca="false">S26-U26</f>
        <v>200000000</v>
      </c>
      <c r="T27" s="15" t="n">
        <f aca="false">S27*$B$5</f>
        <v>3548969.85757409</v>
      </c>
      <c r="U27" s="15" t="n">
        <f aca="false">V27-T27</f>
        <v>0</v>
      </c>
      <c r="V27" s="15" t="n">
        <f aca="false">IF(R27&lt;=$B$8,T27,PMT($B$5,$B$6-$B$8,-$B$4))</f>
        <v>3548969.85757409</v>
      </c>
      <c r="X27" s="19" t="n">
        <v>6</v>
      </c>
      <c r="Y27" s="15" t="n">
        <f aca="false">Y26-AA26</f>
        <v>218385883.126255</v>
      </c>
      <c r="Z27" s="15" t="n">
        <f aca="false">Y27*$B$5</f>
        <v>3875224.58267388</v>
      </c>
      <c r="AA27" s="15" t="n">
        <f aca="false">AB27-Z27</f>
        <v>-3875224.58267388</v>
      </c>
      <c r="AB27" s="15" t="n">
        <f aca="false">IF(X27&lt;=$B$8,0,PMT($B$5,$B$6-$B$8,-$B$4*(1+$B$5)^$B$8))</f>
        <v>0</v>
      </c>
    </row>
    <row r="28" customFormat="false" ht="15" hidden="false" customHeight="false" outlineLevel="0" collapsed="false">
      <c r="F28" s="19" t="n">
        <v>7</v>
      </c>
      <c r="G28" s="15" t="n">
        <f aca="false">G27-I27</f>
        <v>166666666.666667</v>
      </c>
      <c r="H28" s="15" t="n">
        <f aca="false">G28*$B$5</f>
        <v>2957474.88131174</v>
      </c>
      <c r="I28" s="15" t="n">
        <f aca="false">$B$4/$B$6</f>
        <v>5555555.55555556</v>
      </c>
      <c r="J28" s="15" t="n">
        <f aca="false">H28+I28</f>
        <v>8513030.4368673</v>
      </c>
      <c r="L28" s="19" t="n">
        <v>7</v>
      </c>
      <c r="M28" s="15" t="n">
        <f aca="false">M27-O27</f>
        <v>180847248.881874</v>
      </c>
      <c r="N28" s="15" t="n">
        <f aca="false">M28*$B$5</f>
        <v>3209107.17553486</v>
      </c>
      <c r="O28" s="15" t="n">
        <f aca="false">P28-N28</f>
        <v>3629773.35024565</v>
      </c>
      <c r="P28" s="15" t="n">
        <f aca="false">$B$4*($B$5-$B$7)/(1-((1+$B$7)/(1+$B$5))^$B$6)*(1+$B$7)^(L28-1)</f>
        <v>6838880.52578051</v>
      </c>
      <c r="R28" s="19" t="n">
        <v>7</v>
      </c>
      <c r="S28" s="15" t="n">
        <f aca="false">S27-U27</f>
        <v>200000000</v>
      </c>
      <c r="T28" s="15" t="n">
        <f aca="false">S28*$B$5</f>
        <v>3548969.85757409</v>
      </c>
      <c r="U28" s="15" t="n">
        <f aca="false">V28-T28</f>
        <v>5106497.65033284</v>
      </c>
      <c r="V28" s="15" t="n">
        <f aca="false">IF(R28&lt;=$B$8,T28,PMT($B$5,$B$6-$B$8,-$B$4))</f>
        <v>8655467.50790693</v>
      </c>
      <c r="X28" s="19" t="n">
        <v>7</v>
      </c>
      <c r="Y28" s="15" t="n">
        <f aca="false">Y27-AA27</f>
        <v>222261107.708929</v>
      </c>
      <c r="Z28" s="15" t="n">
        <f aca="false">Y28*$B$5</f>
        <v>3943989.85885008</v>
      </c>
      <c r="AA28" s="15" t="n">
        <f aca="false">AB28-Z28</f>
        <v>5674879.12138009</v>
      </c>
      <c r="AB28" s="15" t="n">
        <f aca="false">IF(X28&lt;=$B$8,0,PMT($B$5,$B$6-$B$8,-$B$4*(1+$B$5)^$B$8))</f>
        <v>9618868.98023017</v>
      </c>
    </row>
    <row r="29" customFormat="false" ht="15" hidden="false" customHeight="false" outlineLevel="0" collapsed="false">
      <c r="F29" s="19" t="n">
        <v>8</v>
      </c>
      <c r="G29" s="15" t="n">
        <f aca="false">G28-I28</f>
        <v>161111111.111111</v>
      </c>
      <c r="H29" s="15" t="n">
        <f aca="false">G29*$B$5</f>
        <v>2858892.38526802</v>
      </c>
      <c r="I29" s="15" t="n">
        <f aca="false">$B$4/$B$6</f>
        <v>5555555.55555556</v>
      </c>
      <c r="J29" s="15" t="n">
        <f aca="false">H29+I29</f>
        <v>8414447.94082357</v>
      </c>
      <c r="L29" s="19" t="n">
        <v>8</v>
      </c>
      <c r="M29" s="15" t="n">
        <f aca="false">M28-O28</f>
        <v>177217475.531629</v>
      </c>
      <c r="N29" s="15" t="n">
        <f aca="false">M29*$B$5</f>
        <v>3144697.39448562</v>
      </c>
      <c r="O29" s="15" t="n">
        <f aca="false">P29-N29</f>
        <v>3762571.93655269</v>
      </c>
      <c r="P29" s="15" t="n">
        <f aca="false">$B$4*($B$5-$B$7)/(1-((1+$B$7)/(1+$B$5))^$B$6)*(1+$B$7)^(L29-1)</f>
        <v>6907269.33103831</v>
      </c>
      <c r="R29" s="19" t="n">
        <v>8</v>
      </c>
      <c r="S29" s="15" t="n">
        <f aca="false">S28-U28</f>
        <v>194893502.349667</v>
      </c>
      <c r="T29" s="15" t="n">
        <f aca="false">S29*$B$5</f>
        <v>3458355.82638007</v>
      </c>
      <c r="U29" s="15" t="n">
        <f aca="false">V29-T29</f>
        <v>5197111.68152686</v>
      </c>
      <c r="V29" s="15" t="n">
        <f aca="false">IF(R29&lt;=$B$8,T29,PMT($B$5,$B$6-$B$8,-$B$4))</f>
        <v>8655467.50790693</v>
      </c>
      <c r="X29" s="19" t="n">
        <v>8</v>
      </c>
      <c r="Y29" s="15" t="n">
        <f aca="false">Y28-AA28</f>
        <v>216586228.587549</v>
      </c>
      <c r="Z29" s="15" t="n">
        <f aca="false">Y29*$B$5</f>
        <v>3843289.98411431</v>
      </c>
      <c r="AA29" s="15" t="n">
        <f aca="false">AB29-Z29</f>
        <v>5775578.99611586</v>
      </c>
      <c r="AB29" s="15" t="n">
        <f aca="false">IF(X29&lt;=$B$8,0,PMT($B$5,$B$6-$B$8,-$B$4*(1+$B$5)^$B$8))</f>
        <v>9618868.98023017</v>
      </c>
    </row>
    <row r="30" customFormat="false" ht="15" hidden="false" customHeight="false" outlineLevel="0" collapsed="false">
      <c r="F30" s="19" t="n">
        <v>9</v>
      </c>
      <c r="G30" s="15" t="n">
        <f aca="false">G29-I29</f>
        <v>155555555.555556</v>
      </c>
      <c r="H30" s="15" t="n">
        <f aca="false">G30*$B$5</f>
        <v>2760309.88922429</v>
      </c>
      <c r="I30" s="15" t="n">
        <f aca="false">$B$4/$B$6</f>
        <v>5555555.55555556</v>
      </c>
      <c r="J30" s="15" t="n">
        <f aca="false">H30+I30</f>
        <v>8315865.44477985</v>
      </c>
      <c r="L30" s="19" t="n">
        <v>9</v>
      </c>
      <c r="M30" s="15" t="n">
        <f aca="false">M29-O29</f>
        <v>173454903.595076</v>
      </c>
      <c r="N30" s="15" t="n">
        <f aca="false">M30*$B$5</f>
        <v>3077931.12253673</v>
      </c>
      <c r="O30" s="15" t="n">
        <f aca="false">P30-N30</f>
        <v>3898410.90181197</v>
      </c>
      <c r="P30" s="15" t="n">
        <f aca="false">$B$4*($B$5-$B$7)/(1-((1+$B$7)/(1+$B$5))^$B$6)*(1+$B$7)^(L30-1)</f>
        <v>6976342.0243487</v>
      </c>
      <c r="R30" s="19" t="n">
        <v>9</v>
      </c>
      <c r="S30" s="15" t="n">
        <f aca="false">S29-U29</f>
        <v>189696390.66814</v>
      </c>
      <c r="T30" s="15" t="n">
        <f aca="false">S30*$B$5</f>
        <v>3366133.86285915</v>
      </c>
      <c r="U30" s="15" t="n">
        <f aca="false">V30-T30</f>
        <v>5289333.64504778</v>
      </c>
      <c r="V30" s="15" t="n">
        <f aca="false">IF(R30&lt;=$B$8,T30,PMT($B$5,$B$6-$B$8,-$B$4))</f>
        <v>8655467.50790693</v>
      </c>
      <c r="X30" s="19" t="n">
        <v>9</v>
      </c>
      <c r="Y30" s="15" t="n">
        <f aca="false">Y29-AA29</f>
        <v>210810649.591433</v>
      </c>
      <c r="Z30" s="15" t="n">
        <f aca="false">Y30*$B$5</f>
        <v>3740803.20527804</v>
      </c>
      <c r="AA30" s="15" t="n">
        <f aca="false">AB30-Z30</f>
        <v>5878065.77495213</v>
      </c>
      <c r="AB30" s="15" t="n">
        <f aca="false">IF(X30&lt;=$B$8,0,PMT($B$5,$B$6-$B$8,-$B$4*(1+$B$5)^$B$8))</f>
        <v>9618868.98023017</v>
      </c>
    </row>
    <row r="31" customFormat="false" ht="15" hidden="false" customHeight="false" outlineLevel="0" collapsed="false">
      <c r="F31" s="19" t="n">
        <v>10</v>
      </c>
      <c r="G31" s="15" t="n">
        <f aca="false">G30-I30</f>
        <v>150000000</v>
      </c>
      <c r="H31" s="15" t="n">
        <f aca="false">G31*$B$5</f>
        <v>2661727.39318057</v>
      </c>
      <c r="I31" s="15" t="n">
        <f aca="false">$B$4/$B$6</f>
        <v>5555555.55555556</v>
      </c>
      <c r="J31" s="15" t="n">
        <f aca="false">H31+I31</f>
        <v>8217282.94873613</v>
      </c>
      <c r="L31" s="19" t="n">
        <v>10</v>
      </c>
      <c r="M31" s="15" t="n">
        <f aca="false">M30-O30</f>
        <v>169556492.693264</v>
      </c>
      <c r="N31" s="15" t="n">
        <f aca="false">M31*$B$5</f>
        <v>3008754.40862188</v>
      </c>
      <c r="O31" s="15" t="n">
        <f aca="false">P31-N31</f>
        <v>4037351.0359703</v>
      </c>
      <c r="P31" s="15" t="n">
        <f aca="false">$B$4*($B$5-$B$7)/(1-((1+$B$7)/(1+$B$5))^$B$6)*(1+$B$7)^(L31-1)</f>
        <v>7046105.44459218</v>
      </c>
      <c r="R31" s="19" t="n">
        <v>10</v>
      </c>
      <c r="S31" s="15" t="n">
        <f aca="false">S30-U30</f>
        <v>184407057.023093</v>
      </c>
      <c r="T31" s="15" t="n">
        <f aca="false">S31*$B$5</f>
        <v>3272275.43449451</v>
      </c>
      <c r="U31" s="15" t="n">
        <f aca="false">V31-T31</f>
        <v>5383192.07341242</v>
      </c>
      <c r="V31" s="15" t="n">
        <f aca="false">IF(R31&lt;=$B$8,T31,PMT($B$5,$B$6-$B$8,-$B$4))</f>
        <v>8655467.50790693</v>
      </c>
      <c r="X31" s="19" t="n">
        <v>10</v>
      </c>
      <c r="Y31" s="15" t="n">
        <f aca="false">Y30-AA30</f>
        <v>204932583.816481</v>
      </c>
      <c r="Z31" s="15" t="n">
        <f aca="false">Y31*$B$5</f>
        <v>3636497.81399733</v>
      </c>
      <c r="AA31" s="15" t="n">
        <f aca="false">AB31-Z31</f>
        <v>5982371.16623284</v>
      </c>
      <c r="AB31" s="15" t="n">
        <f aca="false">IF(X31&lt;=$B$8,0,PMT($B$5,$B$6-$B$8,-$B$4*(1+$B$5)^$B$8))</f>
        <v>9618868.98023017</v>
      </c>
    </row>
    <row r="32" customFormat="false" ht="15" hidden="false" customHeight="false" outlineLevel="0" collapsed="false">
      <c r="F32" s="19" t="n">
        <v>11</v>
      </c>
      <c r="G32" s="15" t="n">
        <f aca="false">G31-I31</f>
        <v>144444444.444444</v>
      </c>
      <c r="H32" s="15" t="n">
        <f aca="false">G32*$B$5</f>
        <v>2563144.89713684</v>
      </c>
      <c r="I32" s="15" t="n">
        <f aca="false">$B$4/$B$6</f>
        <v>5555555.55555556</v>
      </c>
      <c r="J32" s="15" t="n">
        <f aca="false">H32+I32</f>
        <v>8118700.4526924</v>
      </c>
      <c r="L32" s="19" t="n">
        <v>11</v>
      </c>
      <c r="M32" s="15" t="n">
        <f aca="false">M31-O31</f>
        <v>165519141.657294</v>
      </c>
      <c r="N32" s="15" t="n">
        <f aca="false">M32*$B$5</f>
        <v>2937112.22296636</v>
      </c>
      <c r="O32" s="15" t="n">
        <f aca="false">P32-N32</f>
        <v>4179454.27607174</v>
      </c>
      <c r="P32" s="15" t="n">
        <f aca="false">$B$4*($B$5-$B$7)/(1-((1+$B$7)/(1+$B$5))^$B$6)*(1+$B$7)^(L32-1)</f>
        <v>7116566.4990381</v>
      </c>
      <c r="R32" s="19" t="n">
        <v>11</v>
      </c>
      <c r="S32" s="15" t="n">
        <f aca="false">S31-U31</f>
        <v>179023864.94968</v>
      </c>
      <c r="T32" s="15" t="n">
        <f aca="false">S32*$B$5</f>
        <v>3176751.50246415</v>
      </c>
      <c r="U32" s="15" t="n">
        <f aca="false">V32-T32</f>
        <v>5478716.00544278</v>
      </c>
      <c r="V32" s="15" t="n">
        <f aca="false">IF(R32&lt;=$B$8,T32,PMT($B$5,$B$6-$B$8,-$B$4))</f>
        <v>8655467.50790693</v>
      </c>
      <c r="X32" s="19" t="n">
        <v>11</v>
      </c>
      <c r="Y32" s="15" t="n">
        <f aca="false">Y31-AA31</f>
        <v>198950212.650248</v>
      </c>
      <c r="Z32" s="15" t="n">
        <f aca="false">Y32*$B$5</f>
        <v>3530341.53926842</v>
      </c>
      <c r="AA32" s="15" t="n">
        <f aca="false">AB32-Z32</f>
        <v>6088527.44096174</v>
      </c>
      <c r="AB32" s="15" t="n">
        <f aca="false">IF(X32&lt;=$B$8,0,PMT($B$5,$B$6-$B$8,-$B$4*(1+$B$5)^$B$8))</f>
        <v>9618868.98023017</v>
      </c>
    </row>
    <row r="33" customFormat="false" ht="15" hidden="false" customHeight="false" outlineLevel="0" collapsed="false">
      <c r="F33" s="19" t="n">
        <v>12</v>
      </c>
      <c r="G33" s="15" t="n">
        <f aca="false">G32-I32</f>
        <v>138888888.888889</v>
      </c>
      <c r="H33" s="15" t="n">
        <f aca="false">G33*$B$5</f>
        <v>2464562.40109312</v>
      </c>
      <c r="I33" s="15" t="n">
        <f aca="false">$B$4/$B$6</f>
        <v>5555555.55555556</v>
      </c>
      <c r="J33" s="15" t="n">
        <f aca="false">H33+I33</f>
        <v>8020117.95664868</v>
      </c>
      <c r="L33" s="19" t="n">
        <v>12</v>
      </c>
      <c r="M33" s="15" t="n">
        <f aca="false">M32-O32</f>
        <v>161339687.381222</v>
      </c>
      <c r="N33" s="15" t="n">
        <f aca="false">M33*$B$5</f>
        <v>2862948.43673192</v>
      </c>
      <c r="O33" s="15" t="n">
        <f aca="false">P33-N33</f>
        <v>4324783.72729656</v>
      </c>
      <c r="P33" s="15" t="n">
        <f aca="false">$B$4*($B$5-$B$7)/(1-((1+$B$7)/(1+$B$5))^$B$6)*(1+$B$7)^(L33-1)</f>
        <v>7187732.16402849</v>
      </c>
      <c r="R33" s="19" t="n">
        <v>12</v>
      </c>
      <c r="S33" s="15" t="n">
        <f aca="false">S32-U32</f>
        <v>173545148.944237</v>
      </c>
      <c r="T33" s="15" t="n">
        <f aca="false">S33*$B$5</f>
        <v>3079532.51265652</v>
      </c>
      <c r="U33" s="15" t="n">
        <f aca="false">V33-T33</f>
        <v>5575934.99525041</v>
      </c>
      <c r="V33" s="15" t="n">
        <f aca="false">IF(R33&lt;=$B$8,T33,PMT($B$5,$B$6-$B$8,-$B$4))</f>
        <v>8655467.50790693</v>
      </c>
      <c r="X33" s="19" t="n">
        <v>12</v>
      </c>
      <c r="Y33" s="15" t="n">
        <f aca="false">Y32-AA32</f>
        <v>192861685.209286</v>
      </c>
      <c r="Z33" s="15" t="n">
        <f aca="false">Y33*$B$5</f>
        <v>3422301.53744349</v>
      </c>
      <c r="AA33" s="15" t="n">
        <f aca="false">AB33-Z33</f>
        <v>6196567.44278667</v>
      </c>
      <c r="AB33" s="15" t="n">
        <f aca="false">IF(X33&lt;=$B$8,0,PMT($B$5,$B$6-$B$8,-$B$4*(1+$B$5)^$B$8))</f>
        <v>9618868.98023017</v>
      </c>
    </row>
    <row r="34" customFormat="false" ht="15" hidden="false" customHeight="false" outlineLevel="0" collapsed="false">
      <c r="F34" s="19" t="n">
        <v>13</v>
      </c>
      <c r="G34" s="15" t="n">
        <f aca="false">G33-I33</f>
        <v>133333333.333333</v>
      </c>
      <c r="H34" s="15" t="n">
        <f aca="false">G34*$B$5</f>
        <v>2365979.9050494</v>
      </c>
      <c r="I34" s="15" t="n">
        <f aca="false">$B$4/$B$6</f>
        <v>5555555.55555556</v>
      </c>
      <c r="J34" s="15" t="n">
        <f aca="false">H34+I34</f>
        <v>7921535.46060495</v>
      </c>
      <c r="L34" s="19" t="n">
        <v>13</v>
      </c>
      <c r="M34" s="15" t="n">
        <f aca="false">M33-O33</f>
        <v>157014903.653926</v>
      </c>
      <c r="N34" s="15" t="n">
        <f aca="false">M34*$B$5</f>
        <v>2786205.80128841</v>
      </c>
      <c r="O34" s="15" t="n">
        <f aca="false">P34-N34</f>
        <v>4473403.68438036</v>
      </c>
      <c r="P34" s="15" t="n">
        <f aca="false">$B$4*($B$5-$B$7)/(1-((1+$B$7)/(1+$B$5))^$B$6)*(1+$B$7)^(L34-1)</f>
        <v>7259609.48566877</v>
      </c>
      <c r="R34" s="19" t="n">
        <v>13</v>
      </c>
      <c r="S34" s="15" t="n">
        <f aca="false">S33-U33</f>
        <v>167969213.948987</v>
      </c>
      <c r="T34" s="15" t="n">
        <f aca="false">S34*$B$5</f>
        <v>2980588.38652684</v>
      </c>
      <c r="U34" s="15" t="n">
        <f aca="false">V34-T34</f>
        <v>5674879.12138009</v>
      </c>
      <c r="V34" s="15" t="n">
        <f aca="false">IF(R34&lt;=$B$8,T34,PMT($B$5,$B$6-$B$8,-$B$4))</f>
        <v>8655467.50790693</v>
      </c>
      <c r="X34" s="19" t="n">
        <v>13</v>
      </c>
      <c r="Y34" s="15" t="n">
        <f aca="false">Y33-AA33</f>
        <v>186665117.766499</v>
      </c>
      <c r="Z34" s="15" t="n">
        <f aca="false">Y34*$B$5</f>
        <v>3312344.38206912</v>
      </c>
      <c r="AA34" s="15" t="n">
        <f aca="false">AB34-Z34</f>
        <v>6306524.59816105</v>
      </c>
      <c r="AB34" s="15" t="n">
        <f aca="false">IF(X34&lt;=$B$8,0,PMT($B$5,$B$6-$B$8,-$B$4*(1+$B$5)^$B$8))</f>
        <v>9618868.98023017</v>
      </c>
    </row>
    <row r="35" customFormat="false" ht="15" hidden="false" customHeight="false" outlineLevel="0" collapsed="false">
      <c r="F35" s="19" t="n">
        <v>14</v>
      </c>
      <c r="G35" s="15" t="n">
        <f aca="false">G34-I34</f>
        <v>127777777.777778</v>
      </c>
      <c r="H35" s="15" t="n">
        <f aca="false">G35*$B$5</f>
        <v>2267397.40900567</v>
      </c>
      <c r="I35" s="15" t="n">
        <f aca="false">$B$4/$B$6</f>
        <v>5555555.55555556</v>
      </c>
      <c r="J35" s="15" t="n">
        <f aca="false">H35+I35</f>
        <v>7822952.96456123</v>
      </c>
      <c r="L35" s="19" t="n">
        <v>14</v>
      </c>
      <c r="M35" s="15" t="n">
        <f aca="false">M34-O34</f>
        <v>152541499.969545</v>
      </c>
      <c r="N35" s="15" t="n">
        <f aca="false">M35*$B$5</f>
        <v>2706825.92710528</v>
      </c>
      <c r="O35" s="15" t="n">
        <f aca="false">P35-N35</f>
        <v>4625379.65342018</v>
      </c>
      <c r="P35" s="15" t="n">
        <f aca="false">$B$4*($B$5-$B$7)/(1-((1+$B$7)/(1+$B$5))^$B$6)*(1+$B$7)^(L35-1)</f>
        <v>7332205.58052546</v>
      </c>
      <c r="R35" s="19" t="n">
        <v>14</v>
      </c>
      <c r="S35" s="15" t="n">
        <f aca="false">S34-U34</f>
        <v>162294334.827607</v>
      </c>
      <c r="T35" s="15" t="n">
        <f aca="false">S35*$B$5</f>
        <v>2879888.51179107</v>
      </c>
      <c r="U35" s="15" t="n">
        <f aca="false">V35-T35</f>
        <v>5775578.99611586</v>
      </c>
      <c r="V35" s="15" t="n">
        <f aca="false">IF(R35&lt;=$B$8,T35,PMT($B$5,$B$6-$B$8,-$B$4))</f>
        <v>8655467.50790693</v>
      </c>
      <c r="X35" s="19" t="n">
        <v>14</v>
      </c>
      <c r="Y35" s="15" t="n">
        <f aca="false">Y34-AA34</f>
        <v>180358593.168338</v>
      </c>
      <c r="Z35" s="15" t="n">
        <f aca="false">Y35*$B$5</f>
        <v>3200436.0535445</v>
      </c>
      <c r="AA35" s="15" t="n">
        <f aca="false">AB35-Z35</f>
        <v>6418432.92668566</v>
      </c>
      <c r="AB35" s="15" t="n">
        <f aca="false">IF(X35&lt;=$B$8,0,PMT($B$5,$B$6-$B$8,-$B$4*(1+$B$5)^$B$8))</f>
        <v>9618868.98023017</v>
      </c>
    </row>
    <row r="36" customFormat="false" ht="15" hidden="false" customHeight="false" outlineLevel="0" collapsed="false">
      <c r="F36" s="19" t="n">
        <v>15</v>
      </c>
      <c r="G36" s="15" t="n">
        <f aca="false">G35-I35</f>
        <v>122222222.222222</v>
      </c>
      <c r="H36" s="15" t="n">
        <f aca="false">G36*$B$5</f>
        <v>2168814.91296195</v>
      </c>
      <c r="I36" s="15" t="n">
        <f aca="false">$B$4/$B$6</f>
        <v>5555555.55555556</v>
      </c>
      <c r="J36" s="15" t="n">
        <f aca="false">H36+I36</f>
        <v>7724370.4685175</v>
      </c>
      <c r="L36" s="19" t="n">
        <v>15</v>
      </c>
      <c r="M36" s="15" t="n">
        <f aca="false">M35-O35</f>
        <v>147916120.316125</v>
      </c>
      <c r="N36" s="15" t="n">
        <f aca="false">M36*$B$5</f>
        <v>2624749.26225615</v>
      </c>
      <c r="O36" s="15" t="n">
        <f aca="false">P36-N36</f>
        <v>4780778.37407456</v>
      </c>
      <c r="P36" s="15" t="n">
        <f aca="false">$B$4*($B$5-$B$7)/(1-((1+$B$7)/(1+$B$5))^$B$6)*(1+$B$7)^(L36-1)</f>
        <v>7405527.63633071</v>
      </c>
      <c r="R36" s="19" t="n">
        <v>15</v>
      </c>
      <c r="S36" s="15" t="n">
        <f aca="false">S35-U35</f>
        <v>156518755.831491</v>
      </c>
      <c r="T36" s="15" t="n">
        <f aca="false">S36*$B$5</f>
        <v>2777401.7329548</v>
      </c>
      <c r="U36" s="15" t="n">
        <f aca="false">V36-T36</f>
        <v>5878065.77495213</v>
      </c>
      <c r="V36" s="15" t="n">
        <f aca="false">IF(R36&lt;=$B$8,T36,PMT($B$5,$B$6-$B$8,-$B$4))</f>
        <v>8655467.50790693</v>
      </c>
      <c r="X36" s="19" t="n">
        <v>15</v>
      </c>
      <c r="Y36" s="15" t="n">
        <f aca="false">Y35-AA35</f>
        <v>173940160.241653</v>
      </c>
      <c r="Z36" s="15" t="n">
        <f aca="false">Y36*$B$5</f>
        <v>3086541.92859616</v>
      </c>
      <c r="AA36" s="15" t="n">
        <f aca="false">AB36-Z36</f>
        <v>6532327.05163401</v>
      </c>
      <c r="AB36" s="15" t="n">
        <f aca="false">IF(X36&lt;=$B$8,0,PMT($B$5,$B$6-$B$8,-$B$4*(1+$B$5)^$B$8))</f>
        <v>9618868.98023017</v>
      </c>
    </row>
    <row r="37" customFormat="false" ht="15" hidden="false" customHeight="false" outlineLevel="0" collapsed="false">
      <c r="F37" s="19" t="n">
        <v>16</v>
      </c>
      <c r="G37" s="15" t="n">
        <f aca="false">G36-I36</f>
        <v>116666666.666667</v>
      </c>
      <c r="H37" s="15" t="n">
        <f aca="false">G37*$B$5</f>
        <v>2070232.41691822</v>
      </c>
      <c r="I37" s="15" t="n">
        <f aca="false">$B$4/$B$6</f>
        <v>5555555.55555556</v>
      </c>
      <c r="J37" s="15" t="n">
        <f aca="false">H37+I37</f>
        <v>7625787.97247378</v>
      </c>
      <c r="L37" s="19" t="n">
        <v>16</v>
      </c>
      <c r="M37" s="15" t="n">
        <f aca="false">M36-O36</f>
        <v>143135341.942051</v>
      </c>
      <c r="N37" s="15" t="n">
        <f aca="false">M37*$B$5</f>
        <v>2539915.07052949</v>
      </c>
      <c r="O37" s="15" t="n">
        <f aca="false">P37-N37</f>
        <v>4939667.84216453</v>
      </c>
      <c r="P37" s="15" t="n">
        <f aca="false">$B$4*($B$5-$B$7)/(1-((1+$B$7)/(1+$B$5))^$B$6)*(1+$B$7)^(L37-1)</f>
        <v>7479582.91269402</v>
      </c>
      <c r="R37" s="19" t="n">
        <v>16</v>
      </c>
      <c r="S37" s="15" t="n">
        <f aca="false">S36-U36</f>
        <v>150640690.056539</v>
      </c>
      <c r="T37" s="15" t="n">
        <f aca="false">S37*$B$5</f>
        <v>2673096.34167409</v>
      </c>
      <c r="U37" s="15" t="n">
        <f aca="false">V37-T37</f>
        <v>5982371.16623284</v>
      </c>
      <c r="V37" s="15" t="n">
        <f aca="false">IF(R37&lt;=$B$8,T37,PMT($B$5,$B$6-$B$8,-$B$4))</f>
        <v>8655467.50790693</v>
      </c>
      <c r="X37" s="19" t="n">
        <v>16</v>
      </c>
      <c r="Y37" s="15" t="n">
        <f aca="false">Y36-AA36</f>
        <v>167407833.190019</v>
      </c>
      <c r="Z37" s="15" t="n">
        <f aca="false">Y37*$B$5</f>
        <v>2970626.76956584</v>
      </c>
      <c r="AA37" s="15" t="n">
        <f aca="false">AB37-Z37</f>
        <v>6648242.21066433</v>
      </c>
      <c r="AB37" s="15" t="n">
        <f aca="false">IF(X37&lt;=$B$8,0,PMT($B$5,$B$6-$B$8,-$B$4*(1+$B$5)^$B$8))</f>
        <v>9618868.98023017</v>
      </c>
    </row>
    <row r="38" customFormat="false" ht="15" hidden="false" customHeight="false" outlineLevel="0" collapsed="false">
      <c r="F38" s="19" t="n">
        <v>17</v>
      </c>
      <c r="G38" s="15" t="n">
        <f aca="false">G37-I37</f>
        <v>111111111.111111</v>
      </c>
      <c r="H38" s="15" t="n">
        <f aca="false">G38*$B$5</f>
        <v>1971649.9208745</v>
      </c>
      <c r="I38" s="15" t="n">
        <f aca="false">$B$4/$B$6</f>
        <v>5555555.55555556</v>
      </c>
      <c r="J38" s="15" t="n">
        <f aca="false">H38+I38</f>
        <v>7527205.47643005</v>
      </c>
      <c r="L38" s="19" t="n">
        <v>17</v>
      </c>
      <c r="M38" s="15" t="n">
        <f aca="false">M37-O37</f>
        <v>138195674.099886</v>
      </c>
      <c r="N38" s="15" t="n">
        <f aca="false">M38*$B$5</f>
        <v>2452261.40913814</v>
      </c>
      <c r="O38" s="15" t="n">
        <f aca="false">P38-N38</f>
        <v>5102117.33268282</v>
      </c>
      <c r="P38" s="15" t="n">
        <f aca="false">$B$4*($B$5-$B$7)/(1-((1+$B$7)/(1+$B$5))^$B$6)*(1+$B$7)^(L38-1)</f>
        <v>7554378.74182096</v>
      </c>
      <c r="R38" s="19" t="n">
        <v>17</v>
      </c>
      <c r="S38" s="15" t="n">
        <f aca="false">S37-U37</f>
        <v>144658318.890306</v>
      </c>
      <c r="T38" s="15" t="n">
        <f aca="false">S38*$B$5</f>
        <v>2566940.06694518</v>
      </c>
      <c r="U38" s="15" t="n">
        <f aca="false">V38-T38</f>
        <v>6088527.44096174</v>
      </c>
      <c r="V38" s="15" t="n">
        <f aca="false">IF(R38&lt;=$B$8,T38,PMT($B$5,$B$6-$B$8,-$B$4))</f>
        <v>8655467.50790693</v>
      </c>
      <c r="X38" s="19" t="n">
        <v>17</v>
      </c>
      <c r="Y38" s="15" t="n">
        <f aca="false">Y37-AA37</f>
        <v>160759590.979354</v>
      </c>
      <c r="Z38" s="15" t="n">
        <f aca="false">Y38*$B$5</f>
        <v>2852654.71350834</v>
      </c>
      <c r="AA38" s="15" t="n">
        <f aca="false">AB38-Z38</f>
        <v>6766214.26672183</v>
      </c>
      <c r="AB38" s="15" t="n">
        <f aca="false">IF(X38&lt;=$B$8,0,PMT($B$5,$B$6-$B$8,-$B$4*(1+$B$5)^$B$8))</f>
        <v>9618868.98023017</v>
      </c>
    </row>
    <row r="39" customFormat="false" ht="15" hidden="false" customHeight="false" outlineLevel="0" collapsed="false">
      <c r="F39" s="19" t="n">
        <v>18</v>
      </c>
      <c r="G39" s="15" t="n">
        <f aca="false">G38-I38</f>
        <v>105555555.555556</v>
      </c>
      <c r="H39" s="15" t="n">
        <f aca="false">G39*$B$5</f>
        <v>1873067.42483077</v>
      </c>
      <c r="I39" s="15" t="n">
        <f aca="false">$B$4/$B$6</f>
        <v>5555555.55555556</v>
      </c>
      <c r="J39" s="15" t="n">
        <f aca="false">H39+I39</f>
        <v>7428622.98038633</v>
      </c>
      <c r="L39" s="19" t="n">
        <v>18</v>
      </c>
      <c r="M39" s="15" t="n">
        <f aca="false">M38-O38</f>
        <v>133093556.767203</v>
      </c>
      <c r="N39" s="15" t="n">
        <f aca="false">M39*$B$5</f>
        <v>2361725.10602065</v>
      </c>
      <c r="O39" s="15" t="n">
        <f aca="false">P39-N39</f>
        <v>5268197.42321852</v>
      </c>
      <c r="P39" s="15" t="n">
        <f aca="false">$B$4*($B$5-$B$7)/(1-((1+$B$7)/(1+$B$5))^$B$6)*(1+$B$7)^(L39-1)</f>
        <v>7629922.52923917</v>
      </c>
      <c r="R39" s="19" t="n">
        <v>18</v>
      </c>
      <c r="S39" s="15" t="n">
        <f aca="false">S38-U38</f>
        <v>138569791.449344</v>
      </c>
      <c r="T39" s="15" t="n">
        <f aca="false">S39*$B$5</f>
        <v>2458900.06512025</v>
      </c>
      <c r="U39" s="15" t="n">
        <f aca="false">V39-T39</f>
        <v>6196567.44278667</v>
      </c>
      <c r="V39" s="15" t="n">
        <f aca="false">IF(R39&lt;=$B$8,T39,PMT($B$5,$B$6-$B$8,-$B$4))</f>
        <v>8655467.50790693</v>
      </c>
      <c r="X39" s="19" t="n">
        <v>18</v>
      </c>
      <c r="Y39" s="15" t="n">
        <f aca="false">Y38-AA38</f>
        <v>153993376.712632</v>
      </c>
      <c r="Z39" s="15" t="n">
        <f aca="false">Y39*$B$5</f>
        <v>2732589.26109592</v>
      </c>
      <c r="AA39" s="15" t="n">
        <f aca="false">AB39-Z39</f>
        <v>6886279.71913425</v>
      </c>
      <c r="AB39" s="15" t="n">
        <f aca="false">IF(X39&lt;=$B$8,0,PMT($B$5,$B$6-$B$8,-$B$4*(1+$B$5)^$B$8))</f>
        <v>9618868.98023017</v>
      </c>
    </row>
    <row r="40" customFormat="false" ht="15" hidden="false" customHeight="false" outlineLevel="0" collapsed="false">
      <c r="F40" s="19" t="n">
        <v>19</v>
      </c>
      <c r="G40" s="15" t="n">
        <f aca="false">G39-I39</f>
        <v>100000000</v>
      </c>
      <c r="H40" s="15" t="n">
        <f aca="false">G40*$B$5</f>
        <v>1774484.92878705</v>
      </c>
      <c r="I40" s="15" t="n">
        <f aca="false">$B$4/$B$6</f>
        <v>5555555.55555556</v>
      </c>
      <c r="J40" s="15" t="n">
        <f aca="false">H40+I40</f>
        <v>7330040.4843426</v>
      </c>
      <c r="L40" s="19" t="n">
        <v>19</v>
      </c>
      <c r="M40" s="15" t="n">
        <f aca="false">M39-O39</f>
        <v>127825359.343985</v>
      </c>
      <c r="N40" s="15" t="n">
        <f aca="false">M40*$B$5</f>
        <v>2268241.73672689</v>
      </c>
      <c r="O40" s="15" t="n">
        <f aca="false">P40-N40</f>
        <v>5437980.01780467</v>
      </c>
      <c r="P40" s="15" t="n">
        <f aca="false">$B$4*($B$5-$B$7)/(1-((1+$B$7)/(1+$B$5))^$B$6)*(1+$B$7)^(L40-1)</f>
        <v>7706221.75453156</v>
      </c>
      <c r="R40" s="19" t="n">
        <v>19</v>
      </c>
      <c r="S40" s="15" t="n">
        <f aca="false">S39-U39</f>
        <v>132373224.006558</v>
      </c>
      <c r="T40" s="15" t="n">
        <f aca="false">S40*$B$5</f>
        <v>2348942.90974588</v>
      </c>
      <c r="U40" s="15" t="n">
        <f aca="false">V40-T40</f>
        <v>6306524.59816105</v>
      </c>
      <c r="V40" s="15" t="n">
        <f aca="false">IF(R40&lt;=$B$8,T40,PMT($B$5,$B$6-$B$8,-$B$4))</f>
        <v>8655467.50790693</v>
      </c>
      <c r="X40" s="19" t="n">
        <v>19</v>
      </c>
      <c r="Y40" s="15" t="n">
        <f aca="false">Y39-AA39</f>
        <v>147107096.993498</v>
      </c>
      <c r="Z40" s="15" t="n">
        <f aca="false">Y40*$B$5</f>
        <v>2610393.26532577</v>
      </c>
      <c r="AA40" s="15" t="n">
        <f aca="false">AB40-Z40</f>
        <v>7008475.7149044</v>
      </c>
      <c r="AB40" s="15" t="n">
        <f aca="false">IF(X40&lt;=$B$8,0,PMT($B$5,$B$6-$B$8,-$B$4*(1+$B$5)^$B$8))</f>
        <v>9618868.98023017</v>
      </c>
    </row>
    <row r="41" customFormat="false" ht="15" hidden="false" customHeight="false" outlineLevel="0" collapsed="false">
      <c r="F41" s="19" t="n">
        <v>20</v>
      </c>
      <c r="G41" s="15" t="n">
        <f aca="false">G40-I40</f>
        <v>94444444.4444445</v>
      </c>
      <c r="H41" s="15" t="n">
        <f aca="false">G41*$B$5</f>
        <v>1675902.43274332</v>
      </c>
      <c r="I41" s="15" t="n">
        <f aca="false">$B$4/$B$6</f>
        <v>5555555.55555556</v>
      </c>
      <c r="J41" s="15" t="n">
        <f aca="false">H41+I41</f>
        <v>7231457.98829888</v>
      </c>
      <c r="L41" s="19" t="n">
        <v>20</v>
      </c>
      <c r="M41" s="15" t="n">
        <f aca="false">M40-O40</f>
        <v>122387379.32618</v>
      </c>
      <c r="N41" s="15" t="n">
        <f aca="false">M41*$B$5</f>
        <v>2171745.6008805</v>
      </c>
      <c r="O41" s="15" t="n">
        <f aca="false">P41-N41</f>
        <v>5611538.37119638</v>
      </c>
      <c r="P41" s="15" t="n">
        <f aca="false">$B$4*($B$5-$B$7)/(1-((1+$B$7)/(1+$B$5))^$B$6)*(1+$B$7)^(L41-1)</f>
        <v>7783283.97207688</v>
      </c>
      <c r="R41" s="19" t="n">
        <v>20</v>
      </c>
      <c r="S41" s="15" t="n">
        <f aca="false">S40-U40</f>
        <v>126066699.408397</v>
      </c>
      <c r="T41" s="15" t="n">
        <f aca="false">S41*$B$5</f>
        <v>2237034.58122126</v>
      </c>
      <c r="U41" s="15" t="n">
        <f aca="false">V41-T41</f>
        <v>6418432.92668566</v>
      </c>
      <c r="V41" s="15" t="n">
        <f aca="false">IF(R41&lt;=$B$8,T41,PMT($B$5,$B$6-$B$8,-$B$4))</f>
        <v>8655467.50790693</v>
      </c>
      <c r="X41" s="19" t="n">
        <v>20</v>
      </c>
      <c r="Y41" s="15" t="n">
        <f aca="false">Y40-AA40</f>
        <v>140098621.278594</v>
      </c>
      <c r="Z41" s="15" t="n">
        <f aca="false">Y41*$B$5</f>
        <v>2486028.92002709</v>
      </c>
      <c r="AA41" s="15" t="n">
        <f aca="false">AB41-Z41</f>
        <v>7132840.06020308</v>
      </c>
      <c r="AB41" s="15" t="n">
        <f aca="false">IF(X41&lt;=$B$8,0,PMT($B$5,$B$6-$B$8,-$B$4*(1+$B$5)^$B$8))</f>
        <v>9618868.98023017</v>
      </c>
    </row>
    <row r="42" customFormat="false" ht="15" hidden="false" customHeight="false" outlineLevel="0" collapsed="false">
      <c r="F42" s="19" t="n">
        <v>21</v>
      </c>
      <c r="G42" s="15" t="n">
        <f aca="false">G41-I41</f>
        <v>88888888.888889</v>
      </c>
      <c r="H42" s="15" t="n">
        <f aca="false">G42*$B$5</f>
        <v>1577319.9366996</v>
      </c>
      <c r="I42" s="15" t="n">
        <f aca="false">$B$4/$B$6</f>
        <v>5555555.55555556</v>
      </c>
      <c r="J42" s="15" t="n">
        <f aca="false">H42+I42</f>
        <v>7132875.49225515</v>
      </c>
      <c r="L42" s="19" t="n">
        <v>21</v>
      </c>
      <c r="M42" s="15" t="n">
        <f aca="false">M41-O41</f>
        <v>116775840.954984</v>
      </c>
      <c r="N42" s="15" t="n">
        <f aca="false">M42*$B$5</f>
        <v>2072169.69821051</v>
      </c>
      <c r="O42" s="15" t="n">
        <f aca="false">P42-N42</f>
        <v>5788947.11358713</v>
      </c>
      <c r="P42" s="15" t="n">
        <f aca="false">$B$4*($B$5-$B$7)/(1-((1+$B$7)/(1+$B$5))^$B$6)*(1+$B$7)^(L42-1)</f>
        <v>7861116.81179765</v>
      </c>
      <c r="R42" s="19" t="n">
        <v>21</v>
      </c>
      <c r="S42" s="15" t="n">
        <f aca="false">S41-U41</f>
        <v>119648266.481711</v>
      </c>
      <c r="T42" s="15" t="n">
        <f aca="false">S42*$B$5</f>
        <v>2123140.45627292</v>
      </c>
      <c r="U42" s="15" t="n">
        <f aca="false">V42-T42</f>
        <v>6532327.05163401</v>
      </c>
      <c r="V42" s="15" t="n">
        <f aca="false">IF(R42&lt;=$B$8,T42,PMT($B$5,$B$6-$B$8,-$B$4))</f>
        <v>8655467.50790693</v>
      </c>
      <c r="X42" s="19" t="n">
        <v>21</v>
      </c>
      <c r="Y42" s="15" t="n">
        <f aca="false">Y41-AA41</f>
        <v>132965781.218391</v>
      </c>
      <c r="Z42" s="15" t="n">
        <f aca="false">Y42*$B$5</f>
        <v>2359457.7481643</v>
      </c>
      <c r="AA42" s="15" t="n">
        <f aca="false">AB42-Z42</f>
        <v>7259411.23206587</v>
      </c>
      <c r="AB42" s="15" t="n">
        <f aca="false">IF(X42&lt;=$B$8,0,PMT($B$5,$B$6-$B$8,-$B$4*(1+$B$5)^$B$8))</f>
        <v>9618868.98023017</v>
      </c>
    </row>
    <row r="43" customFormat="false" ht="15" hidden="false" customHeight="false" outlineLevel="0" collapsed="false">
      <c r="F43" s="19" t="n">
        <v>22</v>
      </c>
      <c r="G43" s="15" t="n">
        <f aca="false">G42-I42</f>
        <v>83333333.3333334</v>
      </c>
      <c r="H43" s="15" t="n">
        <f aca="false">G43*$B$5</f>
        <v>1478737.44065587</v>
      </c>
      <c r="I43" s="15" t="n">
        <f aca="false">$B$4/$B$6</f>
        <v>5555555.55555556</v>
      </c>
      <c r="J43" s="15" t="n">
        <f aca="false">H43+I43</f>
        <v>7034292.99621143</v>
      </c>
      <c r="L43" s="19" t="n">
        <v>22</v>
      </c>
      <c r="M43" s="15" t="n">
        <f aca="false">M42-O42</f>
        <v>110986893.841396</v>
      </c>
      <c r="N43" s="15" t="n">
        <f aca="false">M43*$B$5</f>
        <v>1969445.70414446</v>
      </c>
      <c r="O43" s="15" t="n">
        <f aca="false">P43-N43</f>
        <v>5970282.27577117</v>
      </c>
      <c r="P43" s="15" t="n">
        <f aca="false">$B$4*($B$5-$B$7)/(1-((1+$B$7)/(1+$B$5))^$B$6)*(1+$B$7)^(L43-1)</f>
        <v>7939727.97991562</v>
      </c>
      <c r="R43" s="19" t="n">
        <v>22</v>
      </c>
      <c r="S43" s="15" t="n">
        <f aca="false">S42-U42</f>
        <v>113115939.430077</v>
      </c>
      <c r="T43" s="15" t="n">
        <f aca="false">S43*$B$5</f>
        <v>2007225.2972426</v>
      </c>
      <c r="U43" s="15" t="n">
        <f aca="false">V43-T43</f>
        <v>6648242.21066433</v>
      </c>
      <c r="V43" s="15" t="n">
        <f aca="false">IF(R43&lt;=$B$8,T43,PMT($B$5,$B$6-$B$8,-$B$4))</f>
        <v>8655467.50790693</v>
      </c>
      <c r="X43" s="19" t="n">
        <v>22</v>
      </c>
      <c r="Y43" s="15" t="n">
        <f aca="false">Y42-AA42</f>
        <v>125706369.986325</v>
      </c>
      <c r="Z43" s="15" t="n">
        <f aca="false">Y43*$B$5</f>
        <v>2230640.58993262</v>
      </c>
      <c r="AA43" s="15" t="n">
        <f aca="false">AB43-Z43</f>
        <v>7388228.39029755</v>
      </c>
      <c r="AB43" s="15" t="n">
        <f aca="false">IF(X43&lt;=$B$8,0,PMT($B$5,$B$6-$B$8,-$B$4*(1+$B$5)^$B$8))</f>
        <v>9618868.98023017</v>
      </c>
    </row>
    <row r="44" customFormat="false" ht="15" hidden="false" customHeight="false" outlineLevel="0" collapsed="false">
      <c r="F44" s="19" t="n">
        <v>23</v>
      </c>
      <c r="G44" s="15" t="n">
        <f aca="false">G43-I43</f>
        <v>77777777.7777779</v>
      </c>
      <c r="H44" s="15" t="n">
        <f aca="false">G44*$B$5</f>
        <v>1380154.94461215</v>
      </c>
      <c r="I44" s="15" t="n">
        <f aca="false">$B$4/$B$6</f>
        <v>5555555.55555556</v>
      </c>
      <c r="J44" s="15" t="n">
        <f aca="false">H44+I44</f>
        <v>6935710.5001677</v>
      </c>
      <c r="L44" s="19" t="n">
        <v>23</v>
      </c>
      <c r="M44" s="15" t="n">
        <f aca="false">M43-O43</f>
        <v>105016611.565625</v>
      </c>
      <c r="N44" s="15" t="n">
        <f aca="false">M44*$B$5</f>
        <v>1863503.94495485</v>
      </c>
      <c r="O44" s="15" t="n">
        <f aca="false">P44-N44</f>
        <v>6155621.31475993</v>
      </c>
      <c r="P44" s="15" t="n">
        <f aca="false">$B$4*($B$5-$B$7)/(1-((1+$B$7)/(1+$B$5))^$B$6)*(1+$B$7)^(L44-1)</f>
        <v>8019125.25971478</v>
      </c>
      <c r="R44" s="19" t="n">
        <v>23</v>
      </c>
      <c r="S44" s="15" t="n">
        <f aca="false">S43-U43</f>
        <v>106467697.219413</v>
      </c>
      <c r="T44" s="15" t="n">
        <f aca="false">S44*$B$5</f>
        <v>1889253.2411851</v>
      </c>
      <c r="U44" s="15" t="n">
        <f aca="false">V44-T44</f>
        <v>6766214.26672183</v>
      </c>
      <c r="V44" s="15" t="n">
        <f aca="false">IF(R44&lt;=$B$8,T44,PMT($B$5,$B$6-$B$8,-$B$4))</f>
        <v>8655467.50790693</v>
      </c>
      <c r="X44" s="19" t="n">
        <v>23</v>
      </c>
      <c r="Y44" s="15" t="n">
        <f aca="false">Y43-AA43</f>
        <v>118318141.596027</v>
      </c>
      <c r="Z44" s="15" t="n">
        <f aca="false">Y44*$B$5</f>
        <v>2099537.59064242</v>
      </c>
      <c r="AA44" s="15" t="n">
        <f aca="false">AB44-Z44</f>
        <v>7519331.38958775</v>
      </c>
      <c r="AB44" s="15" t="n">
        <f aca="false">IF(X44&lt;=$B$8,0,PMT($B$5,$B$6-$B$8,-$B$4*(1+$B$5)^$B$8))</f>
        <v>9618868.98023017</v>
      </c>
    </row>
    <row r="45" customFormat="false" ht="15" hidden="false" customHeight="false" outlineLevel="0" collapsed="false">
      <c r="F45" s="19" t="n">
        <v>24</v>
      </c>
      <c r="G45" s="15" t="n">
        <f aca="false">G44-I44</f>
        <v>72222222.2222223</v>
      </c>
      <c r="H45" s="15" t="n">
        <f aca="false">G45*$B$5</f>
        <v>1281572.44856842</v>
      </c>
      <c r="I45" s="15" t="n">
        <f aca="false">$B$4/$B$6</f>
        <v>5555555.55555556</v>
      </c>
      <c r="J45" s="15" t="n">
        <f aca="false">H45+I45</f>
        <v>6837128.00412398</v>
      </c>
      <c r="L45" s="19" t="n">
        <v>24</v>
      </c>
      <c r="M45" s="15" t="n">
        <f aca="false">M44-O44</f>
        <v>98860990.2508653</v>
      </c>
      <c r="N45" s="15" t="n">
        <f aca="false">M45*$B$5</f>
        <v>1754273.37245124</v>
      </c>
      <c r="O45" s="15" t="n">
        <f aca="false">P45-N45</f>
        <v>6345043.13986069</v>
      </c>
      <c r="P45" s="15" t="n">
        <f aca="false">$B$4*($B$5-$B$7)/(1-((1+$B$7)/(1+$B$5))^$B$6)*(1+$B$7)^(L45-1)</f>
        <v>8099316.51231193</v>
      </c>
      <c r="R45" s="19" t="n">
        <v>24</v>
      </c>
      <c r="S45" s="15" t="n">
        <f aca="false">S44-U44</f>
        <v>99701482.9526907</v>
      </c>
      <c r="T45" s="15" t="n">
        <f aca="false">S45*$B$5</f>
        <v>1769187.78877268</v>
      </c>
      <c r="U45" s="15" t="n">
        <f aca="false">V45-T45</f>
        <v>6886279.71913425</v>
      </c>
      <c r="V45" s="15" t="n">
        <f aca="false">IF(R45&lt;=$B$8,T45,PMT($B$5,$B$6-$B$8,-$B$4))</f>
        <v>8655467.50790693</v>
      </c>
      <c r="X45" s="19" t="n">
        <v>24</v>
      </c>
      <c r="Y45" s="15" t="n">
        <f aca="false">Y44-AA44</f>
        <v>110798810.20644</v>
      </c>
      <c r="Z45" s="15" t="n">
        <f aca="false">Y45*$B$5</f>
        <v>1966108.18838863</v>
      </c>
      <c r="AA45" s="15" t="n">
        <f aca="false">AB45-Z45</f>
        <v>7652760.79184154</v>
      </c>
      <c r="AB45" s="15" t="n">
        <f aca="false">IF(X45&lt;=$B$8,0,PMT($B$5,$B$6-$B$8,-$B$4*(1+$B$5)^$B$8))</f>
        <v>9618868.98023017</v>
      </c>
    </row>
    <row r="46" customFormat="false" ht="15" hidden="false" customHeight="false" outlineLevel="0" collapsed="false">
      <c r="F46" s="19" t="n">
        <v>25</v>
      </c>
      <c r="G46" s="15" t="n">
        <f aca="false">G45-I45</f>
        <v>66666666.6666667</v>
      </c>
      <c r="H46" s="15" t="n">
        <f aca="false">G46*$B$5</f>
        <v>1182989.9525247</v>
      </c>
      <c r="I46" s="15" t="n">
        <f aca="false">$B$4/$B$6</f>
        <v>5555555.55555556</v>
      </c>
      <c r="J46" s="15" t="n">
        <f aca="false">H46+I46</f>
        <v>6738545.50808025</v>
      </c>
      <c r="L46" s="19" t="n">
        <v>25</v>
      </c>
      <c r="M46" s="15" t="n">
        <f aca="false">M45-O45</f>
        <v>92515947.1110046</v>
      </c>
      <c r="N46" s="15" t="n">
        <f aca="false">M46*$B$5</f>
        <v>1641681.53820937</v>
      </c>
      <c r="O46" s="15" t="n">
        <f aca="false">P46-N46</f>
        <v>6538628.13922568</v>
      </c>
      <c r="P46" s="15" t="n">
        <f aca="false">$B$4*($B$5-$B$7)/(1-((1+$B$7)/(1+$B$5))^$B$6)*(1+$B$7)^(L46-1)</f>
        <v>8180309.67743505</v>
      </c>
      <c r="R46" s="19" t="n">
        <v>25</v>
      </c>
      <c r="S46" s="15" t="n">
        <f aca="false">S45-U45</f>
        <v>92815203.2335565</v>
      </c>
      <c r="T46" s="15" t="n">
        <f aca="false">S46*$B$5</f>
        <v>1646991.79300253</v>
      </c>
      <c r="U46" s="15" t="n">
        <f aca="false">V46-T46</f>
        <v>7008475.7149044</v>
      </c>
      <c r="V46" s="15" t="n">
        <f aca="false">IF(R46&lt;=$B$8,T46,PMT($B$5,$B$6-$B$8,-$B$4))</f>
        <v>8655467.50790693</v>
      </c>
      <c r="X46" s="19" t="n">
        <v>25</v>
      </c>
      <c r="Y46" s="15" t="n">
        <f aca="false">Y45-AA45</f>
        <v>103146049.414598</v>
      </c>
      <c r="Z46" s="15" t="n">
        <f aca="false">Y46*$B$5</f>
        <v>1830311.10150128</v>
      </c>
      <c r="AA46" s="15" t="n">
        <f aca="false">AB46-Z46</f>
        <v>7788557.87872889</v>
      </c>
      <c r="AB46" s="15" t="n">
        <f aca="false">IF(X46&lt;=$B$8,0,PMT($B$5,$B$6-$B$8,-$B$4*(1+$B$5)^$B$8))</f>
        <v>9618868.98023017</v>
      </c>
    </row>
    <row r="47" customFormat="false" ht="15" hidden="false" customHeight="false" outlineLevel="0" collapsed="false">
      <c r="F47" s="19" t="n">
        <v>26</v>
      </c>
      <c r="G47" s="15" t="n">
        <f aca="false">G46-I46</f>
        <v>61111111.1111112</v>
      </c>
      <c r="H47" s="15" t="n">
        <f aca="false">G47*$B$5</f>
        <v>1084407.45648097</v>
      </c>
      <c r="I47" s="15" t="n">
        <f aca="false">$B$4/$B$6</f>
        <v>5555555.55555556</v>
      </c>
      <c r="J47" s="15" t="n">
        <f aca="false">H47+I47</f>
        <v>6639963.01203653</v>
      </c>
      <c r="L47" s="19" t="n">
        <v>26</v>
      </c>
      <c r="M47" s="15" t="n">
        <f aca="false">M46-O46</f>
        <v>85977318.971779</v>
      </c>
      <c r="N47" s="15" t="n">
        <f aca="false">M47*$B$5</f>
        <v>1525654.56732938</v>
      </c>
      <c r="O47" s="15" t="n">
        <f aca="false">P47-N47</f>
        <v>6736458.20688001</v>
      </c>
      <c r="P47" s="15" t="n">
        <f aca="false">$B$4*($B$5-$B$7)/(1-((1+$B$7)/(1+$B$5))^$B$6)*(1+$B$7)^(L47-1)</f>
        <v>8262112.7742094</v>
      </c>
      <c r="R47" s="19" t="n">
        <v>26</v>
      </c>
      <c r="S47" s="15" t="n">
        <f aca="false">S46-U46</f>
        <v>85806727.5186521</v>
      </c>
      <c r="T47" s="15" t="n">
        <f aca="false">S47*$B$5</f>
        <v>1522627.44770385</v>
      </c>
      <c r="U47" s="15" t="n">
        <f aca="false">V47-T47</f>
        <v>7132840.06020308</v>
      </c>
      <c r="V47" s="15" t="n">
        <f aca="false">IF(R47&lt;=$B$8,T47,PMT($B$5,$B$6-$B$8,-$B$4))</f>
        <v>8655467.50790693</v>
      </c>
      <c r="X47" s="19" t="n">
        <v>26</v>
      </c>
      <c r="Y47" s="15" t="n">
        <f aca="false">Y46-AA46</f>
        <v>95357491.5358691</v>
      </c>
      <c r="Z47" s="15" t="n">
        <f aca="false">Y47*$B$5</f>
        <v>1692104.31577338</v>
      </c>
      <c r="AA47" s="15" t="n">
        <f aca="false">AB47-Z47</f>
        <v>7926764.66445679</v>
      </c>
      <c r="AB47" s="15" t="n">
        <f aca="false">IF(X47&lt;=$B$8,0,PMT($B$5,$B$6-$B$8,-$B$4*(1+$B$5)^$B$8))</f>
        <v>9618868.98023017</v>
      </c>
    </row>
    <row r="48" customFormat="false" ht="15" hidden="false" customHeight="false" outlineLevel="0" collapsed="false">
      <c r="F48" s="19" t="n">
        <v>27</v>
      </c>
      <c r="G48" s="15" t="n">
        <f aca="false">G47-I47</f>
        <v>55555555.5555556</v>
      </c>
      <c r="H48" s="15" t="n">
        <f aca="false">G48*$B$5</f>
        <v>985824.960437249</v>
      </c>
      <c r="I48" s="15" t="n">
        <f aca="false">$B$4/$B$6</f>
        <v>5555555.55555556</v>
      </c>
      <c r="J48" s="15" t="n">
        <f aca="false">H48+I48</f>
        <v>6541380.51599281</v>
      </c>
      <c r="L48" s="19" t="n">
        <v>27</v>
      </c>
      <c r="M48" s="15" t="n">
        <f aca="false">M47-O47</f>
        <v>79240860.7648989</v>
      </c>
      <c r="N48" s="15" t="n">
        <f aca="false">M48*$B$5</f>
        <v>1406117.13171426</v>
      </c>
      <c r="O48" s="15" t="n">
        <f aca="false">P48-N48</f>
        <v>6938616.77023723</v>
      </c>
      <c r="P48" s="15" t="n">
        <f aca="false">$B$4*($B$5-$B$7)/(1-((1+$B$7)/(1+$B$5))^$B$6)*(1+$B$7)^(L48-1)</f>
        <v>8344733.90195149</v>
      </c>
      <c r="R48" s="19" t="n">
        <v>27</v>
      </c>
      <c r="S48" s="15" t="n">
        <f aca="false">S47-U47</f>
        <v>78673887.458449</v>
      </c>
      <c r="T48" s="15" t="n">
        <f aca="false">S48*$B$5</f>
        <v>1396056.27584106</v>
      </c>
      <c r="U48" s="15" t="n">
        <f aca="false">V48-T48</f>
        <v>7259411.23206587</v>
      </c>
      <c r="V48" s="15" t="n">
        <f aca="false">IF(R48&lt;=$B$8,T48,PMT($B$5,$B$6-$B$8,-$B$4))</f>
        <v>8655467.50790693</v>
      </c>
      <c r="X48" s="19" t="n">
        <v>27</v>
      </c>
      <c r="Y48" s="15" t="n">
        <f aca="false">Y47-AA47</f>
        <v>87430726.8714123</v>
      </c>
      <c r="Z48" s="15" t="n">
        <f aca="false">Y48*$B$5</f>
        <v>1551445.07146218</v>
      </c>
      <c r="AA48" s="15" t="n">
        <f aca="false">AB48-Z48</f>
        <v>8067423.90876799</v>
      </c>
      <c r="AB48" s="15" t="n">
        <f aca="false">IF(X48&lt;=$B$8,0,PMT($B$5,$B$6-$B$8,-$B$4*(1+$B$5)^$B$8))</f>
        <v>9618868.98023017</v>
      </c>
    </row>
    <row r="49" customFormat="false" ht="15" hidden="false" customHeight="false" outlineLevel="0" collapsed="false">
      <c r="F49" s="19" t="n">
        <v>28</v>
      </c>
      <c r="G49" s="15" t="n">
        <f aca="false">G48-I48</f>
        <v>50000000.0000001</v>
      </c>
      <c r="H49" s="15" t="n">
        <f aca="false">G49*$B$5</f>
        <v>887242.464393525</v>
      </c>
      <c r="I49" s="15" t="n">
        <f aca="false">$B$4/$B$6</f>
        <v>5555555.55555556</v>
      </c>
      <c r="J49" s="15" t="n">
        <f aca="false">H49+I49</f>
        <v>6442798.01994908</v>
      </c>
      <c r="L49" s="19" t="n">
        <v>28</v>
      </c>
      <c r="M49" s="15" t="n">
        <f aca="false">M48-O48</f>
        <v>72302243.9946617</v>
      </c>
      <c r="N49" s="15" t="n">
        <f aca="false">M49*$B$5</f>
        <v>1282992.42286011</v>
      </c>
      <c r="O49" s="15" t="n">
        <f aca="false">P49-N49</f>
        <v>7145188.8181109</v>
      </c>
      <c r="P49" s="15" t="n">
        <f aca="false">$B$4*($B$5-$B$7)/(1-((1+$B$7)/(1+$B$5))^$B$6)*(1+$B$7)^(L49-1)</f>
        <v>8428181.24097101</v>
      </c>
      <c r="R49" s="19" t="n">
        <v>28</v>
      </c>
      <c r="S49" s="15" t="n">
        <f aca="false">S48-U48</f>
        <v>71414476.2263831</v>
      </c>
      <c r="T49" s="15" t="n">
        <f aca="false">S49*$B$5</f>
        <v>1267239.11760938</v>
      </c>
      <c r="U49" s="15" t="n">
        <f aca="false">V49-T49</f>
        <v>7388228.39029755</v>
      </c>
      <c r="V49" s="15" t="n">
        <f aca="false">IF(R49&lt;=$B$8,T49,PMT($B$5,$B$6-$B$8,-$B$4))</f>
        <v>8655467.50790693</v>
      </c>
      <c r="X49" s="19" t="n">
        <v>28</v>
      </c>
      <c r="Y49" s="15" t="n">
        <f aca="false">Y48-AA48</f>
        <v>79363302.9626444</v>
      </c>
      <c r="Z49" s="15" t="n">
        <f aca="false">Y49*$B$5</f>
        <v>1408289.85005973</v>
      </c>
      <c r="AA49" s="15" t="n">
        <f aca="false">AB49-Z49</f>
        <v>8210579.13017044</v>
      </c>
      <c r="AB49" s="15" t="n">
        <f aca="false">IF(X49&lt;=$B$8,0,PMT($B$5,$B$6-$B$8,-$B$4*(1+$B$5)^$B$8))</f>
        <v>9618868.98023017</v>
      </c>
    </row>
    <row r="50" customFormat="false" ht="15" hidden="false" customHeight="false" outlineLevel="0" collapsed="false">
      <c r="F50" s="19" t="n">
        <v>29</v>
      </c>
      <c r="G50" s="15" t="n">
        <f aca="false">G49-I49</f>
        <v>44444444.4444445</v>
      </c>
      <c r="H50" s="15" t="n">
        <f aca="false">G50*$B$5</f>
        <v>788659.9683498</v>
      </c>
      <c r="I50" s="15" t="n">
        <f aca="false">$B$4/$B$6</f>
        <v>5555555.55555556</v>
      </c>
      <c r="J50" s="15" t="n">
        <f aca="false">H50+I50</f>
        <v>6344215.52390536</v>
      </c>
      <c r="L50" s="19" t="n">
        <v>29</v>
      </c>
      <c r="M50" s="15" t="n">
        <f aca="false">M49-O49</f>
        <v>65157055.1765508</v>
      </c>
      <c r="N50" s="15" t="n">
        <f aca="false">M50*$B$5</f>
        <v>1156202.12414935</v>
      </c>
      <c r="O50" s="15" t="n">
        <f aca="false">P50-N50</f>
        <v>7356260.92923136</v>
      </c>
      <c r="P50" s="15" t="n">
        <f aca="false">$B$4*($B$5-$B$7)/(1-((1+$B$7)/(1+$B$5))^$B$6)*(1+$B$7)^(L50-1)</f>
        <v>8512463.05338072</v>
      </c>
      <c r="R50" s="19" t="n">
        <v>29</v>
      </c>
      <c r="S50" s="15" t="n">
        <f aca="false">S49-U49</f>
        <v>64026247.8360856</v>
      </c>
      <c r="T50" s="15" t="n">
        <f aca="false">S50*$B$5</f>
        <v>1136136.11831918</v>
      </c>
      <c r="U50" s="15" t="n">
        <f aca="false">V50-T50</f>
        <v>7519331.38958775</v>
      </c>
      <c r="V50" s="15" t="n">
        <f aca="false">IF(R50&lt;=$B$8,T50,PMT($B$5,$B$6-$B$8,-$B$4))</f>
        <v>8655467.50790693</v>
      </c>
      <c r="X50" s="19" t="n">
        <v>29</v>
      </c>
      <c r="Y50" s="15" t="n">
        <f aca="false">Y49-AA49</f>
        <v>71152723.8324739</v>
      </c>
      <c r="Z50" s="15" t="n">
        <f aca="false">Y50*$B$5</f>
        <v>1262594.36082872</v>
      </c>
      <c r="AA50" s="15" t="n">
        <f aca="false">AB50-Z50</f>
        <v>8356274.61940145</v>
      </c>
      <c r="AB50" s="15" t="n">
        <f aca="false">IF(X50&lt;=$B$8,0,PMT($B$5,$B$6-$B$8,-$B$4*(1+$B$5)^$B$8))</f>
        <v>9618868.98023017</v>
      </c>
    </row>
    <row r="51" customFormat="false" ht="15" hidden="false" customHeight="false" outlineLevel="0" collapsed="false">
      <c r="F51" s="19" t="n">
        <v>30</v>
      </c>
      <c r="G51" s="15" t="n">
        <f aca="false">G50-I50</f>
        <v>38888888.888889</v>
      </c>
      <c r="H51" s="15" t="n">
        <f aca="false">G51*$B$5</f>
        <v>690077.472306075</v>
      </c>
      <c r="I51" s="15" t="n">
        <f aca="false">$B$4/$B$6</f>
        <v>5555555.55555556</v>
      </c>
      <c r="J51" s="15" t="n">
        <f aca="false">H51+I51</f>
        <v>6245633.02786163</v>
      </c>
      <c r="L51" s="19" t="n">
        <v>30</v>
      </c>
      <c r="M51" s="15" t="n">
        <f aca="false">M50-O50</f>
        <v>57800794.2473194</v>
      </c>
      <c r="N51" s="15" t="n">
        <f aca="false">M51*$B$5</f>
        <v>1025666.38263789</v>
      </c>
      <c r="O51" s="15" t="n">
        <f aca="false">P51-N51</f>
        <v>7571921.30127663</v>
      </c>
      <c r="P51" s="15" t="n">
        <f aca="false">$B$4*($B$5-$B$7)/(1-((1+$B$7)/(1+$B$5))^$B$6)*(1+$B$7)^(L51-1)</f>
        <v>8597587.68391452</v>
      </c>
      <c r="R51" s="19" t="n">
        <v>30</v>
      </c>
      <c r="S51" s="15" t="n">
        <f aca="false">S50-U50</f>
        <v>56506916.4464978</v>
      </c>
      <c r="T51" s="15" t="n">
        <f aca="false">S51*$B$5</f>
        <v>1002706.71606539</v>
      </c>
      <c r="U51" s="15" t="n">
        <f aca="false">V51-T51</f>
        <v>7652760.79184154</v>
      </c>
      <c r="V51" s="15" t="n">
        <f aca="false">IF(R51&lt;=$B$8,T51,PMT($B$5,$B$6-$B$8,-$B$4))</f>
        <v>8655467.50790693</v>
      </c>
      <c r="X51" s="19" t="n">
        <v>30</v>
      </c>
      <c r="Y51" s="15" t="n">
        <f aca="false">Y50-AA50</f>
        <v>62796449.2130725</v>
      </c>
      <c r="Z51" s="15" t="n">
        <f aca="false">Y51*$B$5</f>
        <v>1114313.52709938</v>
      </c>
      <c r="AA51" s="15" t="n">
        <f aca="false">AB51-Z51</f>
        <v>8504555.45313079</v>
      </c>
      <c r="AB51" s="15" t="n">
        <f aca="false">IF(X51&lt;=$B$8,0,PMT($B$5,$B$6-$B$8,-$B$4*(1+$B$5)^$B$8))</f>
        <v>9618868.98023017</v>
      </c>
    </row>
    <row r="52" customFormat="false" ht="15" hidden="false" customHeight="false" outlineLevel="0" collapsed="false">
      <c r="F52" s="19" t="n">
        <v>31</v>
      </c>
      <c r="G52" s="15" t="n">
        <f aca="false">G51-I51</f>
        <v>33333333.3333334</v>
      </c>
      <c r="H52" s="15" t="n">
        <f aca="false">G52*$B$5</f>
        <v>591494.97626235</v>
      </c>
      <c r="I52" s="15" t="n">
        <f aca="false">$B$4/$B$6</f>
        <v>5555555.55555556</v>
      </c>
      <c r="J52" s="15" t="n">
        <f aca="false">H52+I52</f>
        <v>6147050.53181791</v>
      </c>
      <c r="L52" s="19" t="n">
        <v>31</v>
      </c>
      <c r="M52" s="15" t="n">
        <f aca="false">M51-O51</f>
        <v>50228872.9460428</v>
      </c>
      <c r="N52" s="15" t="n">
        <f aca="false">M52*$B$5</f>
        <v>891303.780327124</v>
      </c>
      <c r="O52" s="15" t="n">
        <f aca="false">P52-N52</f>
        <v>7792259.78042655</v>
      </c>
      <c r="P52" s="15" t="n">
        <f aca="false">$B$4*($B$5-$B$7)/(1-((1+$B$7)/(1+$B$5))^$B$6)*(1+$B$7)^(L52-1)</f>
        <v>8683563.56075367</v>
      </c>
      <c r="R52" s="19" t="n">
        <v>31</v>
      </c>
      <c r="S52" s="15" t="n">
        <f aca="false">S51-U51</f>
        <v>48854155.6546563</v>
      </c>
      <c r="T52" s="15" t="n">
        <f aca="false">S52*$B$5</f>
        <v>866909.62917804</v>
      </c>
      <c r="U52" s="15" t="n">
        <f aca="false">V52-T52</f>
        <v>7788557.87872889</v>
      </c>
      <c r="V52" s="15" t="n">
        <f aca="false">IF(R52&lt;=$B$8,T52,PMT($B$5,$B$6-$B$8,-$B$4))</f>
        <v>8655467.50790693</v>
      </c>
      <c r="X52" s="19" t="n">
        <v>31</v>
      </c>
      <c r="Y52" s="15" t="n">
        <f aca="false">Y51-AA51</f>
        <v>54291893.7599417</v>
      </c>
      <c r="Z52" s="15" t="n">
        <f aca="false">Y52*$B$5</f>
        <v>963401.47232324</v>
      </c>
      <c r="AA52" s="15" t="n">
        <f aca="false">AB52-Z52</f>
        <v>8655467.50790693</v>
      </c>
      <c r="AB52" s="15" t="n">
        <f aca="false">IF(X52&lt;=$B$8,0,PMT($B$5,$B$6-$B$8,-$B$4*(1+$B$5)^$B$8))</f>
        <v>9618868.98023017</v>
      </c>
    </row>
    <row r="53" customFormat="false" ht="15" hidden="false" customHeight="false" outlineLevel="0" collapsed="false">
      <c r="F53" s="19" t="n">
        <v>32</v>
      </c>
      <c r="G53" s="15" t="n">
        <f aca="false">G52-I52</f>
        <v>27777777.7777779</v>
      </c>
      <c r="H53" s="15" t="n">
        <f aca="false">G53*$B$5</f>
        <v>492912.480218626</v>
      </c>
      <c r="I53" s="15" t="n">
        <f aca="false">$B$4/$B$6</f>
        <v>5555555.55555556</v>
      </c>
      <c r="J53" s="15" t="n">
        <f aca="false">H53+I53</f>
        <v>6048468.03577418</v>
      </c>
      <c r="L53" s="19" t="n">
        <v>32</v>
      </c>
      <c r="M53" s="15" t="n">
        <f aca="false">M52-O52</f>
        <v>42436613.1656163</v>
      </c>
      <c r="N53" s="15" t="n">
        <f aca="false">M53*$B$5</f>
        <v>753031.30491152</v>
      </c>
      <c r="O53" s="15" t="n">
        <f aca="false">P53-N53</f>
        <v>8017367.89144969</v>
      </c>
      <c r="P53" s="15" t="n">
        <f aca="false">$B$4*($B$5-$B$7)/(1-((1+$B$7)/(1+$B$5))^$B$6)*(1+$B$7)^(L53-1)</f>
        <v>8770399.19636121</v>
      </c>
      <c r="R53" s="19" t="n">
        <v>32</v>
      </c>
      <c r="S53" s="15" t="n">
        <f aca="false">S52-U52</f>
        <v>41065597.7759274</v>
      </c>
      <c r="T53" s="15" t="n">
        <f aca="false">S53*$B$5</f>
        <v>728702.84345014</v>
      </c>
      <c r="U53" s="15" t="n">
        <f aca="false">V53-T53</f>
        <v>7926764.66445679</v>
      </c>
      <c r="V53" s="15" t="n">
        <f aca="false">IF(R53&lt;=$B$8,T53,PMT($B$5,$B$6-$B$8,-$B$4))</f>
        <v>8655467.50790693</v>
      </c>
      <c r="X53" s="19" t="n">
        <v>32</v>
      </c>
      <c r="Y53" s="15" t="n">
        <f aca="false">Y52-AA52</f>
        <v>45636426.2520348</v>
      </c>
      <c r="Z53" s="15" t="n">
        <f aca="false">Y53*$B$5</f>
        <v>809811.505879372</v>
      </c>
      <c r="AA53" s="15" t="n">
        <f aca="false">AB53-Z53</f>
        <v>8809057.4743508</v>
      </c>
      <c r="AB53" s="15" t="n">
        <f aca="false">IF(X53&lt;=$B$8,0,PMT($B$5,$B$6-$B$8,-$B$4*(1+$B$5)^$B$8))</f>
        <v>9618868.98023017</v>
      </c>
    </row>
    <row r="54" customFormat="false" ht="15" hidden="false" customHeight="false" outlineLevel="0" collapsed="false">
      <c r="F54" s="19" t="n">
        <v>33</v>
      </c>
      <c r="G54" s="15" t="n">
        <f aca="false">G53-I53</f>
        <v>22222222.2222223</v>
      </c>
      <c r="H54" s="15" t="n">
        <f aca="false">G54*$B$5</f>
        <v>394329.984174901</v>
      </c>
      <c r="I54" s="15" t="n">
        <f aca="false">$B$4/$B$6</f>
        <v>5555555.55555556</v>
      </c>
      <c r="J54" s="15" t="n">
        <f aca="false">H54+I54</f>
        <v>5949885.53973046</v>
      </c>
      <c r="L54" s="19" t="n">
        <v>33</v>
      </c>
      <c r="M54" s="15" t="n">
        <f aca="false">M53-O53</f>
        <v>34419245.2741666</v>
      </c>
      <c r="N54" s="15" t="n">
        <f aca="false">M54*$B$5</f>
        <v>610764.319992334</v>
      </c>
      <c r="O54" s="15" t="n">
        <f aca="false">P54-N54</f>
        <v>8247338.86833248</v>
      </c>
      <c r="P54" s="15" t="n">
        <f aca="false">$B$4*($B$5-$B$7)/(1-((1+$B$7)/(1+$B$5))^$B$6)*(1+$B$7)^(L54-1)</f>
        <v>8858103.18832482</v>
      </c>
      <c r="R54" s="19" t="n">
        <v>33</v>
      </c>
      <c r="S54" s="15" t="n">
        <f aca="false">S53-U53</f>
        <v>33138833.1114706</v>
      </c>
      <c r="T54" s="15" t="n">
        <f aca="false">S54*$B$5</f>
        <v>588043.599138937</v>
      </c>
      <c r="U54" s="15" t="n">
        <f aca="false">V54-T54</f>
        <v>8067423.90876799</v>
      </c>
      <c r="V54" s="15" t="n">
        <f aca="false">IF(R54&lt;=$B$8,T54,PMT($B$5,$B$6-$B$8,-$B$4))</f>
        <v>8655467.50790693</v>
      </c>
      <c r="X54" s="19" t="n">
        <v>33</v>
      </c>
      <c r="Y54" s="15" t="n">
        <f aca="false">Y53-AA53</f>
        <v>36827368.777684</v>
      </c>
      <c r="Z54" s="15" t="n">
        <f aca="false">Y54*$B$5</f>
        <v>653496.108628828</v>
      </c>
      <c r="AA54" s="15" t="n">
        <f aca="false">AB54-Z54</f>
        <v>8965372.87160134</v>
      </c>
      <c r="AB54" s="15" t="n">
        <f aca="false">IF(X54&lt;=$B$8,0,PMT($B$5,$B$6-$B$8,-$B$4*(1+$B$5)^$B$8))</f>
        <v>9618868.98023017</v>
      </c>
    </row>
    <row r="55" customFormat="false" ht="15" hidden="false" customHeight="false" outlineLevel="0" collapsed="false">
      <c r="F55" s="19" t="n">
        <v>34</v>
      </c>
      <c r="G55" s="15" t="n">
        <f aca="false">G54-I54</f>
        <v>16666666.6666668</v>
      </c>
      <c r="H55" s="15" t="n">
        <f aca="false">G55*$B$5</f>
        <v>295747.488131176</v>
      </c>
      <c r="I55" s="15" t="n">
        <f aca="false">$B$4/$B$6</f>
        <v>5555555.55555556</v>
      </c>
      <c r="J55" s="15" t="n">
        <f aca="false">H55+I55</f>
        <v>5851303.04368673</v>
      </c>
      <c r="L55" s="19" t="n">
        <v>34</v>
      </c>
      <c r="M55" s="15" t="n">
        <f aca="false">M54-O54</f>
        <v>26171906.4058341</v>
      </c>
      <c r="N55" s="15" t="n">
        <f aca="false">M55*$B$5</f>
        <v>464416.534747778</v>
      </c>
      <c r="O55" s="15" t="n">
        <f aca="false">P55-N55</f>
        <v>8482267.68546029</v>
      </c>
      <c r="P55" s="15" t="n">
        <f aca="false">$B$4*($B$5-$B$7)/(1-((1+$B$7)/(1+$B$5))^$B$6)*(1+$B$7)^(L55-1)</f>
        <v>8946684.22020807</v>
      </c>
      <c r="R55" s="19" t="n">
        <v>34</v>
      </c>
      <c r="S55" s="15" t="n">
        <f aca="false">S54-U54</f>
        <v>25071409.2027026</v>
      </c>
      <c r="T55" s="15" t="n">
        <f aca="false">S55*$B$5</f>
        <v>444888.377736487</v>
      </c>
      <c r="U55" s="15" t="n">
        <f aca="false">V55-T55</f>
        <v>8210579.13017044</v>
      </c>
      <c r="V55" s="15" t="n">
        <f aca="false">IF(R55&lt;=$B$8,T55,PMT($B$5,$B$6-$B$8,-$B$4))</f>
        <v>8655467.50790693</v>
      </c>
      <c r="X55" s="19" t="n">
        <v>34</v>
      </c>
      <c r="Y55" s="15" t="n">
        <f aca="false">Y54-AA54</f>
        <v>27861995.9060826</v>
      </c>
      <c r="Z55" s="15" t="n">
        <f aca="false">Y55*$B$5</f>
        <v>494406.9182127</v>
      </c>
      <c r="AA55" s="15" t="n">
        <f aca="false">AB55-Z55</f>
        <v>9124462.06201747</v>
      </c>
      <c r="AB55" s="15" t="n">
        <f aca="false">IF(X55&lt;=$B$8,0,PMT($B$5,$B$6-$B$8,-$B$4*(1+$B$5)^$B$8))</f>
        <v>9618868.98023017</v>
      </c>
    </row>
    <row r="56" customFormat="false" ht="15" hidden="false" customHeight="false" outlineLevel="0" collapsed="false">
      <c r="F56" s="19" t="n">
        <v>35</v>
      </c>
      <c r="G56" s="15" t="n">
        <f aca="false">G55-I55</f>
        <v>11111111.1111112</v>
      </c>
      <c r="H56" s="15" t="n">
        <f aca="false">G56*$B$5</f>
        <v>197164.992087451</v>
      </c>
      <c r="I56" s="15" t="n">
        <f aca="false">$B$4/$B$6</f>
        <v>5555555.55555556</v>
      </c>
      <c r="J56" s="15" t="n">
        <f aca="false">H56+I56</f>
        <v>5752720.54764301</v>
      </c>
      <c r="L56" s="19" t="n">
        <v>35</v>
      </c>
      <c r="M56" s="15" t="n">
        <f aca="false">M55-O55</f>
        <v>17689638.7203738</v>
      </c>
      <c r="N56" s="15" t="n">
        <f aca="false">M56*$B$5</f>
        <v>313899.973049911</v>
      </c>
      <c r="O56" s="15" t="n">
        <f aca="false">P56-N56</f>
        <v>8722251.08936024</v>
      </c>
      <c r="P56" s="15" t="n">
        <f aca="false">$B$4*($B$5-$B$7)/(1-((1+$B$7)/(1+$B$5))^$B$6)*(1+$B$7)^(L56-1)</f>
        <v>9036151.06241015</v>
      </c>
      <c r="R56" s="19" t="n">
        <v>35</v>
      </c>
      <c r="S56" s="15" t="n">
        <f aca="false">S55-U55</f>
        <v>16860830.0725322</v>
      </c>
      <c r="T56" s="15" t="n">
        <f aca="false">S56*$B$5</f>
        <v>299192.888505478</v>
      </c>
      <c r="U56" s="15" t="n">
        <f aca="false">V56-T56</f>
        <v>8356274.61940145</v>
      </c>
      <c r="V56" s="15" t="n">
        <f aca="false">IF(R56&lt;=$B$8,T56,PMT($B$5,$B$6-$B$8,-$B$4))</f>
        <v>8655467.50790693</v>
      </c>
      <c r="X56" s="19" t="n">
        <v>35</v>
      </c>
      <c r="Y56" s="15" t="n">
        <f aca="false">Y55-AA55</f>
        <v>18737533.8440652</v>
      </c>
      <c r="Z56" s="15" t="n">
        <f aca="false">Y56*$B$5</f>
        <v>332494.714089308</v>
      </c>
      <c r="AA56" s="15" t="n">
        <f aca="false">AB56-Z56</f>
        <v>9286374.26614086</v>
      </c>
      <c r="AB56" s="15" t="n">
        <f aca="false">IF(X56&lt;=$B$8,0,PMT($B$5,$B$6-$B$8,-$B$4*(1+$B$5)^$B$8))</f>
        <v>9618868.98023017</v>
      </c>
    </row>
    <row r="57" customFormat="false" ht="15" hidden="false" customHeight="false" outlineLevel="0" collapsed="false">
      <c r="F57" s="19" t="n">
        <v>36</v>
      </c>
      <c r="G57" s="15" t="n">
        <f aca="false">G56-I56</f>
        <v>5555555.55555565</v>
      </c>
      <c r="H57" s="15" t="n">
        <f aca="false">G57*$B$5</f>
        <v>98582.4960437264</v>
      </c>
      <c r="I57" s="15" t="n">
        <f aca="false">$B$4/$B$6</f>
        <v>5555555.55555556</v>
      </c>
      <c r="J57" s="15" t="n">
        <f aca="false">H57+I57</f>
        <v>5654138.05159928</v>
      </c>
      <c r="L57" s="19" t="n">
        <v>36</v>
      </c>
      <c r="M57" s="15" t="n">
        <f aca="false">M56-O56</f>
        <v>8967387.63101358</v>
      </c>
      <c r="N57" s="15" t="n">
        <f aca="false">M57*$B$5</f>
        <v>159124.94201825</v>
      </c>
      <c r="O57" s="15" t="n">
        <f aca="false">P57-N57</f>
        <v>8967387.631016</v>
      </c>
      <c r="P57" s="15" t="n">
        <f aca="false">$B$4*($B$5-$B$7)/(1-((1+$B$7)/(1+$B$5))^$B$6)*(1+$B$7)^(L57-1)</f>
        <v>9126512.57303425</v>
      </c>
      <c r="R57" s="19" t="n">
        <v>36</v>
      </c>
      <c r="S57" s="15" t="n">
        <f aca="false">S56-U56</f>
        <v>8504555.45313074</v>
      </c>
      <c r="T57" s="15" t="n">
        <f aca="false">S57*$B$5</f>
        <v>150912.054776142</v>
      </c>
      <c r="U57" s="15" t="n">
        <f aca="false">V57-T57</f>
        <v>8504555.45313079</v>
      </c>
      <c r="V57" s="15" t="n">
        <f aca="false">IF(R57&lt;=$B$8,T57,PMT($B$5,$B$6-$B$8,-$B$4))</f>
        <v>8655467.50790693</v>
      </c>
      <c r="X57" s="19" t="n">
        <v>36</v>
      </c>
      <c r="Y57" s="15" t="n">
        <f aca="false">Y56-AA56</f>
        <v>9451159.57792429</v>
      </c>
      <c r="Z57" s="15" t="n">
        <f aca="false">Y57*$B$5</f>
        <v>167709.40230588</v>
      </c>
      <c r="AA57" s="15" t="n">
        <f aca="false">AB57-Z57</f>
        <v>9451159.57792429</v>
      </c>
      <c r="AB57" s="15" t="n">
        <f aca="false">IF(X57&lt;=$B$8,0,PMT($B$5,$B$6-$B$8,-$B$4*(1+$B$5)^$B$8))</f>
        <v>9618868.98023017</v>
      </c>
    </row>
    <row r="58" customFormat="false" ht="15" hidden="false" customHeight="false" outlineLevel="0" collapsed="false">
      <c r="F58" s="6" t="s">
        <v>156</v>
      </c>
      <c r="G58" s="22" t="n">
        <f aca="false">ROUND(G57-I57,2)</f>
        <v>0</v>
      </c>
      <c r="L58" s="6" t="s">
        <v>156</v>
      </c>
      <c r="M58" s="22" t="n">
        <f aca="false">ROUND(M57-O57,2)</f>
        <v>-0</v>
      </c>
      <c r="R58" s="6" t="s">
        <v>156</v>
      </c>
      <c r="S58" s="22" t="n">
        <f aca="false">ROUND(S57-U57,2)</f>
        <v>-0</v>
      </c>
      <c r="X58" s="6" t="s">
        <v>156</v>
      </c>
      <c r="Y58" s="22" t="n">
        <f aca="false">ROUND(Y57-AA57,2)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20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186</v>
      </c>
    </row>
    <row r="2" customFormat="false" ht="15" hidden="false" customHeight="false" outlineLevel="0" collapsed="false">
      <c r="A2" s="2" t="s">
        <v>187</v>
      </c>
    </row>
    <row r="4" customFormat="false" ht="15" hidden="false" customHeight="false" outlineLevel="0" collapsed="false">
      <c r="A4" s="3" t="s">
        <v>188</v>
      </c>
    </row>
    <row r="5" customFormat="false" ht="15" hidden="false" customHeight="false" outlineLevel="0" collapsed="false">
      <c r="A5" s="10" t="s">
        <v>189</v>
      </c>
      <c r="B5" s="11" t="n">
        <v>120000000</v>
      </c>
    </row>
    <row r="6" customFormat="false" ht="15" hidden="false" customHeight="false" outlineLevel="0" collapsed="false">
      <c r="A6" s="10" t="s">
        <v>94</v>
      </c>
      <c r="B6" s="13" t="n">
        <v>36</v>
      </c>
    </row>
    <row r="7" customFormat="false" ht="15" hidden="false" customHeight="false" outlineLevel="0" collapsed="false">
      <c r="A7" s="10" t="s">
        <v>190</v>
      </c>
      <c r="B7" s="12" t="n">
        <v>0.009</v>
      </c>
    </row>
    <row r="8" customFormat="false" ht="15" hidden="false" customHeight="false" outlineLevel="0" collapsed="false">
      <c r="A8" s="10" t="s">
        <v>110</v>
      </c>
      <c r="B8" s="14" t="n">
        <f aca="false">PMT(B7,B6,0,-B5)</f>
        <v>2837290.28366882</v>
      </c>
      <c r="C8" s="2" t="s">
        <v>191</v>
      </c>
    </row>
    <row r="10" customFormat="false" ht="15" hidden="false" customHeight="false" outlineLevel="0" collapsed="false">
      <c r="A10" s="3" t="s">
        <v>192</v>
      </c>
    </row>
    <row r="11" customFormat="false" ht="15" hidden="false" customHeight="false" outlineLevel="0" collapsed="false">
      <c r="A11" s="10" t="s">
        <v>193</v>
      </c>
      <c r="B11" s="12" t="n">
        <v>0.35</v>
      </c>
      <c r="C11" s="2" t="s">
        <v>194</v>
      </c>
    </row>
    <row r="12" customFormat="false" ht="15" hidden="false" customHeight="false" outlineLevel="0" collapsed="false">
      <c r="A12" s="10" t="s">
        <v>195</v>
      </c>
      <c r="B12" s="23" t="n">
        <f aca="false">S1_Tasas!E24</f>
        <v>0.235</v>
      </c>
    </row>
    <row r="13" customFormat="false" ht="15" hidden="false" customHeight="false" outlineLevel="0" collapsed="false">
      <c r="A13" s="10" t="s">
        <v>196</v>
      </c>
      <c r="B13" s="20" t="n">
        <f aca="false">B12*(1-B11)</f>
        <v>0.15275</v>
      </c>
    </row>
    <row r="14" customFormat="false" ht="15" hidden="false" customHeight="false" outlineLevel="0" collapsed="false">
      <c r="A14" s="10" t="s">
        <v>197</v>
      </c>
      <c r="B14" s="24" t="n">
        <f aca="false">S3_Cuota_fija!B10</f>
        <v>72347874.0585662</v>
      </c>
    </row>
    <row r="15" customFormat="false" ht="15" hidden="false" customHeight="false" outlineLevel="0" collapsed="false">
      <c r="A15" s="10" t="s">
        <v>198</v>
      </c>
      <c r="B15" s="14" t="n">
        <f aca="false">B14*B11</f>
        <v>25321755.9204982</v>
      </c>
    </row>
    <row r="17" customFormat="false" ht="15" hidden="false" customHeight="false" outlineLevel="0" collapsed="false">
      <c r="A17" s="3" t="s">
        <v>199</v>
      </c>
    </row>
    <row r="18" customFormat="false" ht="15" hidden="false" customHeight="false" outlineLevel="0" collapsed="false">
      <c r="A18" s="10" t="s">
        <v>200</v>
      </c>
      <c r="B18" s="11" t="n">
        <v>450000000</v>
      </c>
    </row>
    <row r="19" customFormat="false" ht="15" hidden="false" customHeight="false" outlineLevel="0" collapsed="false">
      <c r="A19" s="10" t="s">
        <v>201</v>
      </c>
      <c r="B19" s="11" t="n">
        <v>200000000</v>
      </c>
    </row>
    <row r="20" customFormat="false" ht="15" hidden="false" customHeight="false" outlineLevel="0" collapsed="false">
      <c r="A20" s="10" t="s">
        <v>202</v>
      </c>
      <c r="B20" s="24" t="n">
        <f aca="false">S4_Proyecto!C24</f>
        <v>96850000</v>
      </c>
    </row>
    <row r="21" customFormat="false" ht="15" hidden="false" customHeight="false" outlineLevel="0" collapsed="false">
      <c r="A21" s="5" t="s">
        <v>203</v>
      </c>
      <c r="B21" s="5" t="s">
        <v>204</v>
      </c>
      <c r="C21" s="5" t="s">
        <v>205</v>
      </c>
      <c r="D21" s="5"/>
    </row>
    <row r="22" customFormat="false" ht="15" hidden="false" customHeight="false" outlineLevel="0" collapsed="false">
      <c r="A22" s="10" t="s">
        <v>206</v>
      </c>
      <c r="B22" s="15" t="n">
        <f aca="false">B18</f>
        <v>450000000</v>
      </c>
      <c r="C22" s="15" t="n">
        <f aca="false">B18-B19</f>
        <v>250000000</v>
      </c>
    </row>
    <row r="23" customFormat="false" ht="15" hidden="false" customHeight="false" outlineLevel="0" collapsed="false">
      <c r="A23" s="10" t="s">
        <v>154</v>
      </c>
      <c r="B23" s="15" t="n">
        <v>0</v>
      </c>
      <c r="C23" s="15" t="n">
        <f aca="false">B19*B12</f>
        <v>47000000</v>
      </c>
    </row>
    <row r="24" customFormat="false" ht="15" hidden="false" customHeight="false" outlineLevel="0" collapsed="false">
      <c r="A24" s="10" t="s">
        <v>207</v>
      </c>
      <c r="B24" s="15" t="n">
        <v>0</v>
      </c>
      <c r="C24" s="15" t="n">
        <f aca="false">C23*(1-B11)</f>
        <v>30550000</v>
      </c>
    </row>
    <row r="25" customFormat="false" ht="15" hidden="false" customHeight="false" outlineLevel="0" collapsed="false">
      <c r="A25" s="10" t="s">
        <v>208</v>
      </c>
      <c r="B25" s="15" t="n">
        <f aca="false">B20-B24</f>
        <v>96850000</v>
      </c>
      <c r="C25" s="15" t="n">
        <f aca="false">B20-C24</f>
        <v>66300000</v>
      </c>
    </row>
    <row r="26" customFormat="false" ht="15" hidden="false" customHeight="false" outlineLevel="0" collapsed="false">
      <c r="A26" s="10" t="s">
        <v>209</v>
      </c>
      <c r="B26" s="18" t="n">
        <f aca="false">B20/B18</f>
        <v>0.215222222222222</v>
      </c>
      <c r="C26" s="18" t="n">
        <f aca="false">B20/B18</f>
        <v>0.215222222222222</v>
      </c>
    </row>
    <row r="27" customFormat="false" ht="15" hidden="false" customHeight="false" outlineLevel="0" collapsed="false">
      <c r="A27" s="6" t="s">
        <v>210</v>
      </c>
      <c r="B27" s="17" t="n">
        <f aca="false">B25/B22</f>
        <v>0.215222222222222</v>
      </c>
      <c r="C27" s="17" t="n">
        <f aca="false">C25/C22</f>
        <v>0.2652</v>
      </c>
    </row>
    <row r="28" customFormat="false" ht="15" hidden="false" customHeight="false" outlineLevel="0" collapsed="false">
      <c r="A28" s="2" t="s">
        <v>211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212</v>
      </c>
    </row>
    <row r="2" customFormat="false" ht="15" hidden="false" customHeight="false" outlineLevel="0" collapsed="false">
      <c r="A2" s="2" t="s">
        <v>213</v>
      </c>
    </row>
    <row r="4" customFormat="false" ht="15" hidden="false" customHeight="false" outlineLevel="0" collapsed="false">
      <c r="A4" s="10" t="s">
        <v>214</v>
      </c>
      <c r="B4" s="11" t="n">
        <v>200000000</v>
      </c>
    </row>
    <row r="5" customFormat="false" ht="15" hidden="false" customHeight="false" outlineLevel="0" collapsed="false">
      <c r="A5" s="10" t="s">
        <v>215</v>
      </c>
      <c r="B5" s="11" t="n">
        <v>250000000</v>
      </c>
    </row>
    <row r="6" customFormat="false" ht="15" hidden="false" customHeight="false" outlineLevel="0" collapsed="false">
      <c r="A6" s="10" t="s">
        <v>216</v>
      </c>
      <c r="B6" s="23" t="n">
        <f aca="false">S1_Tasas!E24</f>
        <v>0.235</v>
      </c>
      <c r="C6" s="2" t="s">
        <v>217</v>
      </c>
    </row>
    <row r="7" customFormat="false" ht="15" hidden="false" customHeight="false" outlineLevel="0" collapsed="false">
      <c r="A7" s="10" t="s">
        <v>218</v>
      </c>
      <c r="B7" s="23" t="n">
        <f aca="false">S3_Fondo_Apalanc!B11</f>
        <v>0.35</v>
      </c>
    </row>
    <row r="8" customFormat="false" ht="15" hidden="false" customHeight="false" outlineLevel="0" collapsed="false">
      <c r="A8" s="10" t="s">
        <v>196</v>
      </c>
      <c r="B8" s="18" t="n">
        <f aca="false">B6*(1-B7)</f>
        <v>0.15275</v>
      </c>
    </row>
    <row r="9" customFormat="false" ht="15" hidden="false" customHeight="false" outlineLevel="0" collapsed="false">
      <c r="A9" s="10" t="s">
        <v>219</v>
      </c>
      <c r="B9" s="12" t="n">
        <v>0.105</v>
      </c>
      <c r="C9" s="2" t="s">
        <v>220</v>
      </c>
    </row>
    <row r="10" customFormat="false" ht="15" hidden="false" customHeight="false" outlineLevel="0" collapsed="false">
      <c r="A10" s="10" t="s">
        <v>221</v>
      </c>
      <c r="B10" s="28" t="n">
        <v>1.3</v>
      </c>
      <c r="C10" s="2" t="s">
        <v>222</v>
      </c>
    </row>
    <row r="11" customFormat="false" ht="15" hidden="false" customHeight="false" outlineLevel="0" collapsed="false">
      <c r="A11" s="10" t="s">
        <v>223</v>
      </c>
      <c r="B11" s="12" t="n">
        <v>0.07</v>
      </c>
      <c r="C11" s="2" t="s">
        <v>224</v>
      </c>
    </row>
    <row r="12" customFormat="false" ht="15" hidden="false" customHeight="false" outlineLevel="0" collapsed="false">
      <c r="A12" s="10" t="s">
        <v>225</v>
      </c>
      <c r="B12" s="12" t="n">
        <v>0.05</v>
      </c>
      <c r="C12" s="2" t="s">
        <v>226</v>
      </c>
    </row>
    <row r="13" customFormat="false" ht="15" hidden="false" customHeight="false" outlineLevel="0" collapsed="false">
      <c r="A13" s="10" t="s">
        <v>227</v>
      </c>
      <c r="B13" s="18" t="n">
        <f aca="false">B9+B10*B11+B12</f>
        <v>0.246</v>
      </c>
      <c r="C13" s="2" t="s">
        <v>228</v>
      </c>
    </row>
    <row r="14" customFormat="false" ht="15" hidden="false" customHeight="false" outlineLevel="0" collapsed="false">
      <c r="A14" s="10" t="s">
        <v>229</v>
      </c>
      <c r="B14" s="18" t="n">
        <f aca="false">B4/(B4+B5)</f>
        <v>0.444444444444444</v>
      </c>
    </row>
    <row r="15" customFormat="false" ht="15" hidden="false" customHeight="false" outlineLevel="0" collapsed="false">
      <c r="A15" s="10" t="s">
        <v>230</v>
      </c>
      <c r="B15" s="18" t="n">
        <f aca="false">B5/(B4+B5)</f>
        <v>0.555555555555556</v>
      </c>
    </row>
    <row r="16" customFormat="false" ht="15" hidden="false" customHeight="false" outlineLevel="0" collapsed="false">
      <c r="A16" s="10" t="s">
        <v>231</v>
      </c>
      <c r="B16" s="20" t="n">
        <f aca="false">B14*B8+B15*B13</f>
        <v>0.204555555555556</v>
      </c>
      <c r="C16" s="2" t="s">
        <v>232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H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7" min="2" style="0" width="16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" t="s">
        <v>233</v>
      </c>
    </row>
    <row r="2" customFormat="false" ht="15" hidden="false" customHeight="false" outlineLevel="0" collapsed="false">
      <c r="A2" s="2" t="s">
        <v>234</v>
      </c>
    </row>
    <row r="4" customFormat="false" ht="15" hidden="false" customHeight="false" outlineLevel="0" collapsed="false">
      <c r="A4" s="3" t="s">
        <v>235</v>
      </c>
    </row>
    <row r="5" customFormat="false" ht="15" hidden="false" customHeight="false" outlineLevel="0" collapsed="false">
      <c r="A5" s="10" t="s">
        <v>236</v>
      </c>
      <c r="B5" s="11" t="n">
        <v>850000000</v>
      </c>
    </row>
    <row r="6" customFormat="false" ht="15" hidden="false" customHeight="false" outlineLevel="0" collapsed="false">
      <c r="A6" s="10" t="s">
        <v>237</v>
      </c>
      <c r="B6" s="12" t="n">
        <v>0.07</v>
      </c>
    </row>
    <row r="7" customFormat="false" ht="15" hidden="false" customHeight="false" outlineLevel="0" collapsed="false">
      <c r="A7" s="10" t="s">
        <v>238</v>
      </c>
      <c r="B7" s="12" t="n">
        <v>0.58</v>
      </c>
    </row>
    <row r="8" customFormat="false" ht="15" hidden="false" customHeight="false" outlineLevel="0" collapsed="false">
      <c r="A8" s="10" t="s">
        <v>239</v>
      </c>
      <c r="B8" s="11" t="n">
        <v>170000000</v>
      </c>
    </row>
    <row r="9" customFormat="false" ht="15" hidden="false" customHeight="false" outlineLevel="0" collapsed="false">
      <c r="A9" s="10" t="s">
        <v>240</v>
      </c>
      <c r="B9" s="12" t="n">
        <v>0.04</v>
      </c>
    </row>
    <row r="10" customFormat="false" ht="15" hidden="false" customHeight="false" outlineLevel="0" collapsed="false">
      <c r="A10" s="10" t="s">
        <v>241</v>
      </c>
      <c r="B10" s="11" t="n">
        <v>380000000</v>
      </c>
    </row>
    <row r="11" customFormat="false" ht="15" hidden="false" customHeight="false" outlineLevel="0" collapsed="false">
      <c r="A11" s="10" t="s">
        <v>242</v>
      </c>
      <c r="B11" s="13" t="n">
        <v>10</v>
      </c>
    </row>
    <row r="12" customFormat="false" ht="15" hidden="false" customHeight="false" outlineLevel="0" collapsed="false">
      <c r="A12" s="10" t="s">
        <v>243</v>
      </c>
      <c r="B12" s="11" t="n">
        <v>70000000</v>
      </c>
    </row>
    <row r="13" customFormat="false" ht="15" hidden="false" customHeight="false" outlineLevel="0" collapsed="false">
      <c r="A13" s="10" t="s">
        <v>244</v>
      </c>
      <c r="B13" s="11" t="n">
        <v>200000000</v>
      </c>
    </row>
    <row r="14" customFormat="false" ht="15" hidden="false" customHeight="false" outlineLevel="0" collapsed="false">
      <c r="A14" s="10" t="s">
        <v>245</v>
      </c>
      <c r="B14" s="23" t="n">
        <f aca="false">S3_Fondo_Apalanc!B11</f>
        <v>0.35</v>
      </c>
    </row>
    <row r="15" customFormat="false" ht="15" hidden="false" customHeight="false" outlineLevel="0" collapsed="false">
      <c r="A15" s="10" t="s">
        <v>231</v>
      </c>
      <c r="B15" s="23" t="n">
        <f aca="false">S4_WACC!$B$16</f>
        <v>0.204555555555556</v>
      </c>
    </row>
    <row r="17" customFormat="false" ht="15" hidden="false" customHeight="false" outlineLevel="0" collapsed="false">
      <c r="A17" s="5" t="s">
        <v>203</v>
      </c>
      <c r="B17" s="5" t="s">
        <v>246</v>
      </c>
      <c r="C17" s="5" t="s">
        <v>247</v>
      </c>
      <c r="D17" s="5" t="s">
        <v>248</v>
      </c>
      <c r="E17" s="5" t="s">
        <v>249</v>
      </c>
      <c r="F17" s="5" t="s">
        <v>250</v>
      </c>
      <c r="G17" s="5" t="s">
        <v>251</v>
      </c>
    </row>
    <row r="18" customFormat="false" ht="15" hidden="false" customHeight="false" outlineLevel="0" collapsed="false">
      <c r="A18" s="10" t="s">
        <v>252</v>
      </c>
      <c r="B18" s="10"/>
      <c r="C18" s="15" t="n">
        <f aca="false">$B$5*(1+$B$6)^(1-1)</f>
        <v>850000000</v>
      </c>
      <c r="D18" s="15" t="n">
        <f aca="false">$B$5*(1+$B$6)^(2-1)</f>
        <v>909500000</v>
      </c>
      <c r="E18" s="15" t="n">
        <f aca="false">$B$5*(1+$B$6)^(3-1)</f>
        <v>973165000</v>
      </c>
      <c r="F18" s="15" t="n">
        <f aca="false">$B$5*(1+$B$6)^(4-1)</f>
        <v>1041286550</v>
      </c>
      <c r="G18" s="15" t="n">
        <f aca="false">$B$5*(1+$B$6)^(5-1)</f>
        <v>1114176608.5</v>
      </c>
      <c r="H18" s="15" t="n">
        <f aca="false">$B$5*(1+$B$6)^(6-1)</f>
        <v>1192168971.095</v>
      </c>
    </row>
    <row r="19" customFormat="false" ht="15" hidden="false" customHeight="false" outlineLevel="0" collapsed="false">
      <c r="A19" s="10" t="s">
        <v>253</v>
      </c>
      <c r="B19" s="10"/>
      <c r="C19" s="15" t="n">
        <f aca="false">C18*$B$7</f>
        <v>493000000</v>
      </c>
      <c r="D19" s="15" t="n">
        <f aca="false">D18*$B$7</f>
        <v>527510000</v>
      </c>
      <c r="E19" s="15" t="n">
        <f aca="false">E18*$B$7</f>
        <v>564435700</v>
      </c>
      <c r="F19" s="15" t="n">
        <f aca="false">F18*$B$7</f>
        <v>603946199</v>
      </c>
      <c r="G19" s="15" t="n">
        <f aca="false">G18*$B$7</f>
        <v>646222432.93</v>
      </c>
      <c r="H19" s="15" t="n">
        <f aca="false">H18*$B$7</f>
        <v>691458003.2351</v>
      </c>
    </row>
    <row r="20" customFormat="false" ht="15" hidden="false" customHeight="false" outlineLevel="0" collapsed="false">
      <c r="A20" s="10" t="s">
        <v>254</v>
      </c>
      <c r="B20" s="10"/>
      <c r="C20" s="15" t="n">
        <f aca="false">$B$8*(1+$B$9)^(1-1)</f>
        <v>170000000</v>
      </c>
      <c r="D20" s="15" t="n">
        <f aca="false">$B$8*(1+$B$9)^(2-1)</f>
        <v>176800000</v>
      </c>
      <c r="E20" s="15" t="n">
        <f aca="false">$B$8*(1+$B$9)^(3-1)</f>
        <v>183872000</v>
      </c>
      <c r="F20" s="15" t="n">
        <f aca="false">$B$8*(1+$B$9)^(4-1)</f>
        <v>191226880</v>
      </c>
      <c r="G20" s="15" t="n">
        <f aca="false">$B$8*(1+$B$9)^(5-1)</f>
        <v>198875955.2</v>
      </c>
      <c r="H20" s="15" t="n">
        <f aca="false">$B$8*(1+$B$9)^(6-1)</f>
        <v>206830993.408</v>
      </c>
    </row>
    <row r="21" customFormat="false" ht="15" hidden="false" customHeight="false" outlineLevel="0" collapsed="false">
      <c r="A21" s="10" t="s">
        <v>255</v>
      </c>
      <c r="B21" s="10"/>
      <c r="C21" s="15" t="n">
        <f aca="false">$B$10/$B$11</f>
        <v>38000000</v>
      </c>
      <c r="D21" s="15" t="n">
        <f aca="false">$B$10/$B$11</f>
        <v>38000000</v>
      </c>
      <c r="E21" s="15" t="n">
        <f aca="false">$B$10/$B$11</f>
        <v>38000000</v>
      </c>
      <c r="F21" s="15" t="n">
        <f aca="false">$B$10/$B$11</f>
        <v>38000000</v>
      </c>
      <c r="G21" s="15" t="n">
        <f aca="false">$B$10/$B$11</f>
        <v>38000000</v>
      </c>
      <c r="H21" s="15" t="n">
        <f aca="false">$B$10/$B$11</f>
        <v>38000000</v>
      </c>
    </row>
    <row r="22" customFormat="false" ht="15" hidden="false" customHeight="false" outlineLevel="0" collapsed="false">
      <c r="A22" s="6" t="s">
        <v>256</v>
      </c>
      <c r="B22" s="10"/>
      <c r="C22" s="22" t="n">
        <f aca="false">C18-C19-C20-C21</f>
        <v>149000000</v>
      </c>
      <c r="D22" s="22" t="n">
        <f aca="false">D18-D19-D20-D21</f>
        <v>167190000</v>
      </c>
      <c r="E22" s="22" t="n">
        <f aca="false">E18-E19-E20-E21</f>
        <v>186857300</v>
      </c>
      <c r="F22" s="22" t="n">
        <f aca="false">F18-F19-F20-F21</f>
        <v>208113471</v>
      </c>
      <c r="G22" s="22" t="n">
        <f aca="false">G18-G19-G20-G21</f>
        <v>231078220.37</v>
      </c>
      <c r="H22" s="22" t="n">
        <f aca="false">H18-H19-H20-H21</f>
        <v>255879974.4519</v>
      </c>
    </row>
    <row r="23" customFormat="false" ht="15" hidden="false" customHeight="false" outlineLevel="0" collapsed="false">
      <c r="A23" s="10" t="s">
        <v>257</v>
      </c>
      <c r="B23" s="10"/>
      <c r="C23" s="15" t="n">
        <f aca="false">C22*$B$14</f>
        <v>52150000</v>
      </c>
      <c r="D23" s="15" t="n">
        <f aca="false">D22*$B$14</f>
        <v>58516500</v>
      </c>
      <c r="E23" s="15" t="n">
        <f aca="false">E22*$B$14</f>
        <v>65400055</v>
      </c>
      <c r="F23" s="15" t="n">
        <f aca="false">F22*$B$14</f>
        <v>72839714.85</v>
      </c>
      <c r="G23" s="15" t="n">
        <f aca="false">G22*$B$14</f>
        <v>80877377.1295</v>
      </c>
      <c r="H23" s="15" t="n">
        <f aca="false">H22*$B$14</f>
        <v>89557991.058165</v>
      </c>
    </row>
    <row r="24" customFormat="false" ht="15" hidden="false" customHeight="false" outlineLevel="0" collapsed="false">
      <c r="A24" s="6" t="s">
        <v>258</v>
      </c>
      <c r="B24" s="10"/>
      <c r="C24" s="22" t="n">
        <f aca="false">C22-C23</f>
        <v>96850000</v>
      </c>
      <c r="D24" s="22" t="n">
        <f aca="false">D22-D23</f>
        <v>108673500</v>
      </c>
      <c r="E24" s="22" t="n">
        <f aca="false">E22-E23</f>
        <v>121457245</v>
      </c>
      <c r="F24" s="22" t="n">
        <f aca="false">F22-F23</f>
        <v>135273756.15</v>
      </c>
      <c r="G24" s="22" t="n">
        <f aca="false">G22-G23</f>
        <v>150200843.2405</v>
      </c>
      <c r="H24" s="22" t="n">
        <f aca="false">H22-H23</f>
        <v>166321983.393735</v>
      </c>
    </row>
    <row r="25" customFormat="false" ht="15" hidden="false" customHeight="false" outlineLevel="0" collapsed="false">
      <c r="A25" s="10" t="s">
        <v>259</v>
      </c>
      <c r="B25" s="10"/>
      <c r="C25" s="15" t="n">
        <f aca="false">C21</f>
        <v>38000000</v>
      </c>
      <c r="D25" s="15" t="n">
        <f aca="false">D21</f>
        <v>38000000</v>
      </c>
      <c r="E25" s="15" t="n">
        <f aca="false">E21</f>
        <v>38000000</v>
      </c>
      <c r="F25" s="15" t="n">
        <f aca="false">F21</f>
        <v>38000000</v>
      </c>
      <c r="G25" s="15" t="n">
        <f aca="false">G21</f>
        <v>38000000</v>
      </c>
      <c r="H25" s="15" t="n">
        <f aca="false">H21</f>
        <v>38000000</v>
      </c>
    </row>
    <row r="26" customFormat="false" ht="15" hidden="false" customHeight="false" outlineLevel="0" collapsed="false">
      <c r="A26" s="10" t="s">
        <v>260</v>
      </c>
      <c r="B26" s="15" t="n">
        <f aca="false">-$B$10</f>
        <v>-380000000</v>
      </c>
      <c r="C26" s="15" t="n">
        <v>0</v>
      </c>
      <c r="D26" s="15" t="n">
        <v>0</v>
      </c>
      <c r="E26" s="15" t="n">
        <v>0</v>
      </c>
      <c r="F26" s="15" t="n">
        <v>0</v>
      </c>
      <c r="G26" s="15" t="n">
        <v>0</v>
      </c>
      <c r="H26" s="15" t="n">
        <v>0</v>
      </c>
    </row>
    <row r="27" customFormat="false" ht="15" hidden="false" customHeight="false" outlineLevel="0" collapsed="false">
      <c r="A27" s="10" t="s">
        <v>261</v>
      </c>
      <c r="B27" s="15" t="n">
        <f aca="false">-$B$12</f>
        <v>-70000000</v>
      </c>
      <c r="C27" s="15" t="n">
        <v>0</v>
      </c>
      <c r="D27" s="15" t="n">
        <v>0</v>
      </c>
      <c r="E27" s="15" t="n">
        <v>0</v>
      </c>
      <c r="F27" s="15" t="n">
        <v>0</v>
      </c>
      <c r="G27" s="15" t="n">
        <f aca="false">$B$12</f>
        <v>70000000</v>
      </c>
      <c r="H27" s="15" t="n">
        <v>0</v>
      </c>
    </row>
    <row r="28" customFormat="false" ht="15" hidden="false" customHeight="false" outlineLevel="0" collapsed="false">
      <c r="A28" s="10" t="s">
        <v>262</v>
      </c>
      <c r="B28" s="15" t="n">
        <v>0</v>
      </c>
      <c r="C28" s="15" t="n">
        <v>0</v>
      </c>
      <c r="D28" s="15" t="n">
        <v>0</v>
      </c>
      <c r="E28" s="15" t="n">
        <v>0</v>
      </c>
      <c r="F28" s="15" t="n">
        <v>0</v>
      </c>
      <c r="G28" s="15" t="n">
        <f aca="false">$B$13-($B$13-($B$10-$B$10/$B$11*5))*$B$14</f>
        <v>196500000</v>
      </c>
      <c r="H28" s="15" t="n">
        <v>0</v>
      </c>
    </row>
    <row r="29" customFormat="false" ht="15" hidden="false" customHeight="false" outlineLevel="0" collapsed="false">
      <c r="A29" s="6" t="s">
        <v>263</v>
      </c>
      <c r="B29" s="14" t="n">
        <f aca="false">SUM(B26:B28)</f>
        <v>-450000000</v>
      </c>
      <c r="C29" s="14" t="n">
        <f aca="false">C24+C25+SUM(C26:C28)</f>
        <v>134850000</v>
      </c>
      <c r="D29" s="14" t="n">
        <f aca="false">D24+D25+SUM(D26:D28)</f>
        <v>146673500</v>
      </c>
      <c r="E29" s="14" t="n">
        <f aca="false">E24+E25+SUM(E26:E28)</f>
        <v>159457245</v>
      </c>
      <c r="F29" s="14" t="n">
        <f aca="false">F24+F25+SUM(F26:F28)</f>
        <v>173273756.15</v>
      </c>
      <c r="G29" s="14" t="n">
        <f aca="false">G24+G25+SUM(G26:G28)</f>
        <v>454700843.2405</v>
      </c>
      <c r="H29" s="14" t="n">
        <f aca="false">H24+H25+SUM(H26:H28)</f>
        <v>204321983.393735</v>
      </c>
    </row>
    <row r="30" customFormat="false" ht="15" hidden="false" customHeight="false" outlineLevel="0" collapsed="false">
      <c r="A30" s="10" t="s">
        <v>264</v>
      </c>
      <c r="B30" s="15" t="n">
        <f aca="false">B29/(1+$B$15)^0</f>
        <v>-450000000</v>
      </c>
      <c r="C30" s="15" t="n">
        <f aca="false">C29/(1+$B$15)^1</f>
        <v>111950004.612121</v>
      </c>
      <c r="D30" s="15" t="n">
        <f aca="false">D29/(1+$B$15)^2</f>
        <v>101087623.22171</v>
      </c>
      <c r="E30" s="15" t="n">
        <f aca="false">E29/(1+$B$15)^3</f>
        <v>91235477.9310293</v>
      </c>
      <c r="F30" s="15" t="n">
        <f aca="false">F29/(1+$B$15)^4</f>
        <v>82304854.2177245</v>
      </c>
      <c r="G30" s="15" t="n">
        <f aca="false">G29/(1+$B$15)^5</f>
        <v>179304663.295409</v>
      </c>
    </row>
    <row r="31" customFormat="false" ht="15" hidden="false" customHeight="false" outlineLevel="0" collapsed="false">
      <c r="A31" s="10" t="s">
        <v>265</v>
      </c>
      <c r="B31" s="15" t="n">
        <f aca="false">SUM($B$30:B30)</f>
        <v>-450000000</v>
      </c>
      <c r="C31" s="15" t="n">
        <f aca="false">SUM($B$30:C30)</f>
        <v>-338049995.387879</v>
      </c>
      <c r="D31" s="15" t="n">
        <f aca="false">SUM($B$30:D30)</f>
        <v>-236962372.16617</v>
      </c>
      <c r="E31" s="15" t="n">
        <f aca="false">SUM($B$30:E30)</f>
        <v>-145726894.23514</v>
      </c>
      <c r="F31" s="15" t="n">
        <f aca="false">SUM($B$30:F30)</f>
        <v>-63422040.0174158</v>
      </c>
      <c r="G31" s="15" t="n">
        <f aca="false">SUM($B$30:G30)</f>
        <v>115882623.277993</v>
      </c>
    </row>
    <row r="33" customFormat="false" ht="15" hidden="false" customHeight="false" outlineLevel="0" collapsed="false">
      <c r="A33" s="3" t="s">
        <v>266</v>
      </c>
    </row>
    <row r="34" customFormat="false" ht="15" hidden="false" customHeight="false" outlineLevel="0" collapsed="false">
      <c r="A34" s="10" t="s">
        <v>267</v>
      </c>
      <c r="B34" s="14" t="n">
        <f aca="false">NPV($B$15,C29:G29)+B29</f>
        <v>115882623.277993</v>
      </c>
      <c r="C34" s="2" t="s">
        <v>268</v>
      </c>
    </row>
    <row r="35" customFormat="false" ht="15" hidden="false" customHeight="false" outlineLevel="0" collapsed="false">
      <c r="A35" s="10" t="s">
        <v>269</v>
      </c>
      <c r="B35" s="20" t="n">
        <f aca="false">IRR(B29:G29)</f>
        <v>0.296395308360808</v>
      </c>
      <c r="C35" s="2" t="s">
        <v>270</v>
      </c>
    </row>
    <row r="36" customFormat="false" ht="15" hidden="false" customHeight="false" outlineLevel="0" collapsed="false">
      <c r="A36" s="10" t="s">
        <v>271</v>
      </c>
      <c r="B36" s="18" t="n">
        <f aca="false">MIRR(B29:G29,$B$15,$B$15)</f>
        <v>0.261042152496024</v>
      </c>
      <c r="C36" s="2" t="s">
        <v>272</v>
      </c>
    </row>
    <row r="37" customFormat="false" ht="15" hidden="false" customHeight="false" outlineLevel="0" collapsed="false">
      <c r="A37" s="10" t="s">
        <v>273</v>
      </c>
      <c r="B37" s="21" t="n">
        <f aca="false">NPV($B$15,C29:G29)/-B29</f>
        <v>1.25751694061776</v>
      </c>
      <c r="C37" s="2" t="s">
        <v>274</v>
      </c>
    </row>
    <row r="38" customFormat="false" ht="15" hidden="false" customHeight="false" outlineLevel="0" collapsed="false">
      <c r="A38" s="10" t="s">
        <v>275</v>
      </c>
      <c r="B38" s="21" t="n">
        <f aca="false">IFERROR(MATCH(TRUE(),INDEX(C31:G31&gt;=0,0),0)-1+(-INDEX(B31:G31,MATCH(TRUE(),INDEX(C31:G31&gt;=0,0),0)))/INDEX(C30:G30,MATCH(TRUE(),INDEX(C31:G31&gt;=0,0),0)),"No se recupera")</f>
        <v>4.35371104605866</v>
      </c>
      <c r="C38" s="2" t="s">
        <v>276</v>
      </c>
    </row>
    <row r="39" customFormat="false" ht="15" hidden="false" customHeight="false" outlineLevel="0" collapsed="false">
      <c r="A39" s="10" t="s">
        <v>277</v>
      </c>
      <c r="B39" s="9" t="str">
        <f aca="false">IF(B34&gt;0,"Invertir: el proyecto crea valor","No invertir")</f>
        <v>Invertir: el proyecto crea valor</v>
      </c>
    </row>
    <row r="41" customFormat="false" ht="15" hidden="false" customHeight="false" outlineLevel="0" collapsed="false">
      <c r="A41" s="3" t="s">
        <v>278</v>
      </c>
    </row>
    <row r="42" customFormat="false" ht="15" hidden="false" customHeight="false" outlineLevel="0" collapsed="false">
      <c r="A42" s="5" t="s">
        <v>203</v>
      </c>
      <c r="B42" s="5"/>
      <c r="C42" s="5" t="s">
        <v>247</v>
      </c>
      <c r="D42" s="5" t="s">
        <v>248</v>
      </c>
      <c r="E42" s="5" t="s">
        <v>249</v>
      </c>
      <c r="F42" s="5" t="s">
        <v>250</v>
      </c>
      <c r="G42" s="5" t="s">
        <v>251</v>
      </c>
    </row>
    <row r="43" customFormat="false" ht="15" hidden="false" customHeight="false" outlineLevel="0" collapsed="false">
      <c r="A43" s="10" t="s">
        <v>279</v>
      </c>
      <c r="C43" s="15" t="n">
        <f aca="false">C24</f>
        <v>96850000</v>
      </c>
      <c r="D43" s="15" t="n">
        <f aca="false">D24</f>
        <v>108673500</v>
      </c>
      <c r="E43" s="15" t="n">
        <f aca="false">E24</f>
        <v>121457245</v>
      </c>
      <c r="F43" s="15" t="n">
        <f aca="false">F24</f>
        <v>135273756.15</v>
      </c>
      <c r="G43" s="15" t="n">
        <f aca="false">G24</f>
        <v>150200843.2405</v>
      </c>
    </row>
    <row r="44" customFormat="false" ht="15" hidden="false" customHeight="false" outlineLevel="0" collapsed="false">
      <c r="A44" s="10" t="s">
        <v>280</v>
      </c>
      <c r="C44" s="15" t="n">
        <f aca="false">$B$10+$B$12-$B$10/$B$11*0</f>
        <v>450000000</v>
      </c>
      <c r="D44" s="15" t="n">
        <f aca="false">$B$10+$B$12-$B$10/$B$11*1</f>
        <v>412000000</v>
      </c>
      <c r="E44" s="15" t="n">
        <f aca="false">$B$10+$B$12-$B$10/$B$11*2</f>
        <v>374000000</v>
      </c>
      <c r="F44" s="15" t="n">
        <f aca="false">$B$10+$B$12-$B$10/$B$11*3</f>
        <v>336000000</v>
      </c>
      <c r="G44" s="15" t="n">
        <f aca="false">$B$10+$B$12-$B$10/$B$11*4</f>
        <v>298000000</v>
      </c>
    </row>
    <row r="45" customFormat="false" ht="15" hidden="false" customHeight="false" outlineLevel="0" collapsed="false">
      <c r="A45" s="10" t="s">
        <v>281</v>
      </c>
      <c r="C45" s="15" t="n">
        <f aca="false">C44*$B$15</f>
        <v>92050000</v>
      </c>
      <c r="D45" s="15" t="n">
        <f aca="false">D44*$B$15</f>
        <v>84276888.8888889</v>
      </c>
      <c r="E45" s="15" t="n">
        <f aca="false">E44*$B$15</f>
        <v>76503777.7777778</v>
      </c>
      <c r="F45" s="15" t="n">
        <f aca="false">F44*$B$15</f>
        <v>68730666.6666667</v>
      </c>
      <c r="G45" s="15" t="n">
        <f aca="false">G44*$B$15</f>
        <v>60957555.5555556</v>
      </c>
    </row>
    <row r="46" customFormat="false" ht="15" hidden="false" customHeight="false" outlineLevel="0" collapsed="false">
      <c r="A46" s="6" t="s">
        <v>282</v>
      </c>
      <c r="C46" s="26" t="n">
        <f aca="false">C43-C45</f>
        <v>4800000.00000005</v>
      </c>
      <c r="D46" s="26" t="n">
        <f aca="false">D43-D45</f>
        <v>24396611.1111112</v>
      </c>
      <c r="E46" s="26" t="n">
        <f aca="false">E43-E45</f>
        <v>44953467.2222222</v>
      </c>
      <c r="F46" s="26" t="n">
        <f aca="false">F43-F45</f>
        <v>66543089.4833334</v>
      </c>
      <c r="G46" s="26" t="n">
        <f aca="false">G43-G45</f>
        <v>89243287.6849445</v>
      </c>
    </row>
    <row r="47" customFormat="false" ht="15" hidden="false" customHeight="false" outlineLevel="0" collapsed="false">
      <c r="A47" s="10" t="s">
        <v>283</v>
      </c>
      <c r="B47" s="15" t="n">
        <f aca="false">NPV($B$15,C46:G46)</f>
        <v>113319442.829252</v>
      </c>
    </row>
    <row r="48" customFormat="false" ht="15" hidden="false" customHeight="false" outlineLevel="0" collapsed="false">
      <c r="A48" s="10" t="s">
        <v>284</v>
      </c>
      <c r="B48" s="15" t="n">
        <f aca="false">(G28-($B$10-$B$10/$B$11*5))/(1+$B$15)^5</f>
        <v>2563180.44874114</v>
      </c>
    </row>
    <row r="49" customFormat="false" ht="15" hidden="false" customHeight="false" outlineLevel="0" collapsed="false">
      <c r="A49" s="10" t="s">
        <v>285</v>
      </c>
      <c r="B49" s="14" t="n">
        <f aca="false">B47+B48</f>
        <v>115882623.277993</v>
      </c>
      <c r="C49" s="2" t="s">
        <v>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2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287</v>
      </c>
    </row>
    <row r="2" customFormat="false" ht="15" hidden="false" customHeight="false" outlineLevel="0" collapsed="false">
      <c r="A2" s="2" t="s">
        <v>288</v>
      </c>
    </row>
    <row r="4" customFormat="false" ht="15" hidden="false" customHeight="false" outlineLevel="0" collapsed="false">
      <c r="A4" s="5" t="s">
        <v>289</v>
      </c>
      <c r="B4" s="5" t="s">
        <v>246</v>
      </c>
      <c r="C4" s="5" t="s">
        <v>247</v>
      </c>
      <c r="D4" s="5" t="s">
        <v>248</v>
      </c>
      <c r="E4" s="5" t="s">
        <v>249</v>
      </c>
      <c r="F4" s="5" t="s">
        <v>290</v>
      </c>
      <c r="G4" s="5" t="s">
        <v>291</v>
      </c>
    </row>
    <row r="5" customFormat="false" ht="15" hidden="false" customHeight="false" outlineLevel="0" collapsed="false">
      <c r="A5" s="10" t="s">
        <v>292</v>
      </c>
      <c r="B5" s="29" t="n">
        <v>-100</v>
      </c>
      <c r="C5" s="29" t="n">
        <v>60</v>
      </c>
      <c r="D5" s="29" t="n">
        <v>60</v>
      </c>
      <c r="E5" s="29" t="n">
        <v>40</v>
      </c>
      <c r="F5" s="30" t="n">
        <f aca="false">NPV(S4_WACC!$B$16,C5:E5)+B5</f>
        <v>14.049509618742</v>
      </c>
      <c r="G5" s="17" t="n">
        <f aca="false">IRR(B5:E5)</f>
        <v>0.298967864466368</v>
      </c>
    </row>
    <row r="6" customFormat="false" ht="15" hidden="false" customHeight="false" outlineLevel="0" collapsed="false">
      <c r="A6" s="10" t="s">
        <v>293</v>
      </c>
      <c r="B6" s="29" t="n">
        <v>-300</v>
      </c>
      <c r="C6" s="29" t="n">
        <v>140</v>
      </c>
      <c r="D6" s="29" t="n">
        <v>160</v>
      </c>
      <c r="E6" s="29" t="n">
        <v>180</v>
      </c>
      <c r="F6" s="30" t="n">
        <f aca="false">NPV(S4_WACC!$B$16,C6:E6)+B6</f>
        <v>29.4869847447028</v>
      </c>
      <c r="G6" s="17" t="n">
        <f aca="false">IRR(B6:E6)</f>
        <v>0.264076959306064</v>
      </c>
    </row>
    <row r="7" customFormat="false" ht="15" hidden="false" customHeight="false" outlineLevel="0" collapsed="false">
      <c r="A7" s="10" t="s">
        <v>294</v>
      </c>
      <c r="B7" s="31" t="n">
        <f aca="false">B6-B5</f>
        <v>-200</v>
      </c>
      <c r="C7" s="31" t="n">
        <f aca="false">C6-C5</f>
        <v>80</v>
      </c>
      <c r="D7" s="31" t="n">
        <f aca="false">D6-D5</f>
        <v>100</v>
      </c>
      <c r="E7" s="31" t="n">
        <f aca="false">E6-E5</f>
        <v>140</v>
      </c>
      <c r="F7" s="31" t="n">
        <f aca="false">NPV(S4_WACC!$B$16,C7:E7)+B7</f>
        <v>15.4374751259608</v>
      </c>
      <c r="G7" s="17" t="n">
        <f aca="false">IRR(B7:E7)</f>
        <v>0.249018595883674</v>
      </c>
    </row>
    <row r="8" customFormat="false" ht="15" hidden="false" customHeight="false" outlineLevel="0" collapsed="false">
      <c r="A8" s="2" t="s">
        <v>295</v>
      </c>
    </row>
    <row r="10" customFormat="false" ht="15" hidden="false" customHeight="false" outlineLevel="0" collapsed="false">
      <c r="A10" s="3" t="s">
        <v>296</v>
      </c>
    </row>
    <row r="11" customFormat="false" ht="15" hidden="false" customHeight="false" outlineLevel="0" collapsed="false">
      <c r="A11" s="5" t="s">
        <v>297</v>
      </c>
      <c r="B11" s="5" t="s">
        <v>298</v>
      </c>
      <c r="C11" s="5" t="s">
        <v>299</v>
      </c>
    </row>
    <row r="12" customFormat="false" ht="15" hidden="false" customHeight="false" outlineLevel="0" collapsed="false">
      <c r="A12" s="12" t="n">
        <v>0</v>
      </c>
      <c r="B12" s="31" t="n">
        <f aca="false">NPV(A12,C$5:E$5)+B$5</f>
        <v>60</v>
      </c>
      <c r="C12" s="31" t="n">
        <f aca="false">NPV(A12,C$6:E$6)+B$6</f>
        <v>180</v>
      </c>
    </row>
    <row r="13" customFormat="false" ht="15" hidden="false" customHeight="false" outlineLevel="0" collapsed="false">
      <c r="A13" s="12" t="n">
        <v>0.05</v>
      </c>
      <c r="B13" s="31" t="n">
        <f aca="false">NPV(A13,C$5:E$5)+B$5</f>
        <v>46.1181297915992</v>
      </c>
      <c r="C13" s="31" t="n">
        <f aca="false">NPV(A13,C$6:E$6)+B$6</f>
        <v>133.948817622287</v>
      </c>
    </row>
    <row r="14" customFormat="false" ht="15" hidden="false" customHeight="false" outlineLevel="0" collapsed="false">
      <c r="A14" s="12" t="n">
        <v>0.1</v>
      </c>
      <c r="B14" s="31" t="n">
        <f aca="false">NPV(A14,C$5:E$5)+B$5</f>
        <v>34.1848234410218</v>
      </c>
      <c r="C14" s="31" t="n">
        <f aca="false">NPV(A14,C$6:E$6)+B$6</f>
        <v>94.7407963936889</v>
      </c>
    </row>
    <row r="15" customFormat="false" ht="15" hidden="false" customHeight="false" outlineLevel="0" collapsed="false">
      <c r="A15" s="12" t="n">
        <v>0.15</v>
      </c>
      <c r="B15" s="31" t="n">
        <f aca="false">NPV(A15,C$5:E$5)+B$5</f>
        <v>23.843182378565</v>
      </c>
      <c r="C15" s="31" t="n">
        <f aca="false">NPV(A15,C$6:E$6)+B$6</f>
        <v>61.0750390400264</v>
      </c>
    </row>
    <row r="16" customFormat="false" ht="15" hidden="false" customHeight="false" outlineLevel="0" collapsed="false">
      <c r="A16" s="12" t="n">
        <v>0.2</v>
      </c>
      <c r="B16" s="31" t="n">
        <f aca="false">NPV(A16,C$5:E$5)+B$5</f>
        <v>14.8148148148148</v>
      </c>
      <c r="C16" s="31" t="n">
        <f aca="false">NPV(A16,C$6:E$6)+B$6</f>
        <v>31.9444444444445</v>
      </c>
    </row>
    <row r="17" customFormat="false" ht="15" hidden="false" customHeight="false" outlineLevel="0" collapsed="false">
      <c r="A17" s="12" t="n">
        <v>0.25</v>
      </c>
      <c r="B17" s="31" t="n">
        <f aca="false">NPV(A17,C$5:E$5)+B$5</f>
        <v>6.88</v>
      </c>
      <c r="C17" s="31" t="n">
        <f aca="false">NPV(A17,C$6:E$6)+B$6</f>
        <v>6.56</v>
      </c>
    </row>
    <row r="18" customFormat="false" ht="15" hidden="false" customHeight="false" outlineLevel="0" collapsed="false">
      <c r="A18" s="12" t="n">
        <v>0.3</v>
      </c>
      <c r="B18" s="31" t="n">
        <f aca="false">NPV(A18,C$5:E$5)+B$5</f>
        <v>-0.136549840691856</v>
      </c>
      <c r="C18" s="31" t="n">
        <f aca="false">NPV(A18,C$6:E$6)+B$6</f>
        <v>-15.703231679563</v>
      </c>
    </row>
    <row r="19" customFormat="false" ht="15" hidden="false" customHeight="false" outlineLevel="0" collapsed="false">
      <c r="A19" s="12" t="n">
        <v>0.35</v>
      </c>
      <c r="B19" s="31" t="n">
        <f aca="false">NPV(A19,C$5:E$5)+B$5</f>
        <v>-6.37606055987401</v>
      </c>
      <c r="C19" s="31" t="n">
        <f aca="false">NPV(A19,C$6:E$6)+B$6</f>
        <v>-35.3452217649749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6" min="2" style="0" width="16"/>
  </cols>
  <sheetData>
    <row r="1" customFormat="false" ht="17.35" hidden="false" customHeight="false" outlineLevel="0" collapsed="false">
      <c r="A1" s="1" t="s">
        <v>300</v>
      </c>
    </row>
    <row r="2" customFormat="false" ht="15" hidden="false" customHeight="false" outlineLevel="0" collapsed="false">
      <c r="A2" s="2" t="s">
        <v>301</v>
      </c>
    </row>
    <row r="4" customFormat="false" ht="23.85" hidden="false" customHeight="false" outlineLevel="0" collapsed="false">
      <c r="A4" s="5" t="s">
        <v>224</v>
      </c>
      <c r="B4" s="5" t="s">
        <v>302</v>
      </c>
      <c r="C4" s="5" t="s">
        <v>303</v>
      </c>
      <c r="D4" s="5" t="s">
        <v>304</v>
      </c>
      <c r="E4" s="5" t="s">
        <v>305</v>
      </c>
      <c r="F4" s="5" t="s">
        <v>306</v>
      </c>
    </row>
    <row r="5" customFormat="false" ht="15" hidden="false" customHeight="false" outlineLevel="0" collapsed="false">
      <c r="A5" s="10" t="s">
        <v>236</v>
      </c>
      <c r="B5" s="11" t="n">
        <v>850000000</v>
      </c>
      <c r="C5" s="11" t="n">
        <v>765000000</v>
      </c>
      <c r="D5" s="11" t="n">
        <v>850000000</v>
      </c>
      <c r="E5" s="11" t="n">
        <v>850000000</v>
      </c>
      <c r="F5" s="11" t="n">
        <v>850000000</v>
      </c>
    </row>
    <row r="6" customFormat="false" ht="15" hidden="false" customHeight="false" outlineLevel="0" collapsed="false">
      <c r="A6" s="10" t="s">
        <v>307</v>
      </c>
      <c r="B6" s="12" t="n">
        <v>0.07</v>
      </c>
      <c r="C6" s="12" t="n">
        <v>0.07</v>
      </c>
      <c r="D6" s="12" t="n">
        <v>0.07</v>
      </c>
      <c r="E6" s="12" t="n">
        <v>0.03</v>
      </c>
      <c r="F6" s="12" t="n">
        <v>0.07</v>
      </c>
    </row>
    <row r="7" customFormat="false" ht="15" hidden="false" customHeight="false" outlineLevel="0" collapsed="false">
      <c r="A7" s="10" t="s">
        <v>308</v>
      </c>
      <c r="B7" s="12" t="n">
        <v>0.58</v>
      </c>
      <c r="C7" s="12" t="n">
        <v>0.58</v>
      </c>
      <c r="D7" s="12" t="n">
        <v>0.62</v>
      </c>
      <c r="E7" s="12" t="n">
        <v>0.58</v>
      </c>
      <c r="F7" s="12" t="n">
        <v>0.58</v>
      </c>
    </row>
    <row r="8" customFormat="false" ht="15" hidden="false" customHeight="false" outlineLevel="0" collapsed="false">
      <c r="A8" s="10" t="s">
        <v>239</v>
      </c>
      <c r="B8" s="11" t="n">
        <v>170000000</v>
      </c>
      <c r="C8" s="11" t="n">
        <v>170000000</v>
      </c>
      <c r="D8" s="11" t="n">
        <v>170000000</v>
      </c>
      <c r="E8" s="11" t="n">
        <v>170000000</v>
      </c>
      <c r="F8" s="11" t="n">
        <v>170000000</v>
      </c>
    </row>
    <row r="9" customFormat="false" ht="15" hidden="false" customHeight="false" outlineLevel="0" collapsed="false">
      <c r="A9" s="10" t="s">
        <v>309</v>
      </c>
      <c r="B9" s="12" t="n">
        <v>0</v>
      </c>
      <c r="C9" s="12" t="n">
        <v>0</v>
      </c>
      <c r="D9" s="12" t="n">
        <v>0</v>
      </c>
      <c r="E9" s="12" t="n">
        <v>0</v>
      </c>
      <c r="F9" s="12" t="n">
        <v>0.03</v>
      </c>
    </row>
    <row r="10" customFormat="false" ht="15" hidden="false" customHeight="false" outlineLevel="0" collapsed="false">
      <c r="A10" s="10" t="s">
        <v>310</v>
      </c>
      <c r="B10" s="18" t="n">
        <f aca="false">S4_WACC!$B$16+B9</f>
        <v>0.204555555555556</v>
      </c>
      <c r="C10" s="18" t="n">
        <f aca="false">S4_WACC!$B$16+C9</f>
        <v>0.204555555555556</v>
      </c>
      <c r="D10" s="18" t="n">
        <f aca="false">S4_WACC!$B$16+D9</f>
        <v>0.204555555555556</v>
      </c>
      <c r="E10" s="18" t="n">
        <f aca="false">S4_WACC!$B$16+E9</f>
        <v>0.204555555555556</v>
      </c>
      <c r="F10" s="18" t="n">
        <f aca="false">S4_WACC!$B$16+F9</f>
        <v>0.234555555555556</v>
      </c>
    </row>
    <row r="11" customFormat="false" ht="15" hidden="false" customHeight="false" outlineLevel="0" collapsed="false">
      <c r="A11" s="10" t="s">
        <v>311</v>
      </c>
      <c r="B11" s="15" t="n">
        <f aca="false">S4_Proyecto!$B$29</f>
        <v>-450000000</v>
      </c>
      <c r="C11" s="15" t="n">
        <f aca="false">S4_Proyecto!$B$29</f>
        <v>-450000000</v>
      </c>
      <c r="D11" s="15" t="n">
        <f aca="false">S4_Proyecto!$B$29</f>
        <v>-450000000</v>
      </c>
      <c r="E11" s="15" t="n">
        <f aca="false">S4_Proyecto!$B$29</f>
        <v>-450000000</v>
      </c>
      <c r="F11" s="15" t="n">
        <f aca="false">S4_Proyecto!$B$29</f>
        <v>-450000000</v>
      </c>
    </row>
    <row r="12" customFormat="false" ht="15" hidden="false" customHeight="false" outlineLevel="0" collapsed="false">
      <c r="A12" s="10" t="s">
        <v>312</v>
      </c>
      <c r="B12" s="15" t="n">
        <f aca="false">((B$5*(1+B$6)^(1-1))*(1-B$7)-B$8*(1+S4_Proyecto!$B$9)^(1-1)-S4_Proyecto!$B$10/S4_Proyecto!$B$11)*(1-S4_Proyecto!$B$14)+S4_Proyecto!$B$10/S4_Proyecto!$B$11</f>
        <v>134850000</v>
      </c>
      <c r="C12" s="15" t="n">
        <f aca="false">((C$5*(1+C$6)^(1-1))*(1-C$7)-C$8*(1+S4_Proyecto!$B$9)^(1-1)-S4_Proyecto!$B$10/S4_Proyecto!$B$11)*(1-S4_Proyecto!$B$14)+S4_Proyecto!$B$10/S4_Proyecto!$B$11</f>
        <v>111645000</v>
      </c>
      <c r="D12" s="15" t="n">
        <f aca="false">((D$5*(1+D$6)^(1-1))*(1-D$7)-D$8*(1+S4_Proyecto!$B$9)^(1-1)-S4_Proyecto!$B$10/S4_Proyecto!$B$11)*(1-S4_Proyecto!$B$14)+S4_Proyecto!$B$10/S4_Proyecto!$B$11</f>
        <v>112750000</v>
      </c>
      <c r="E12" s="15" t="n">
        <f aca="false">((E$5*(1+E$6)^(1-1))*(1-E$7)-E$8*(1+S4_Proyecto!$B$9)^(1-1)-S4_Proyecto!$B$10/S4_Proyecto!$B$11)*(1-S4_Proyecto!$B$14)+S4_Proyecto!$B$10/S4_Proyecto!$B$11</f>
        <v>134850000</v>
      </c>
      <c r="F12" s="15" t="n">
        <f aca="false">((F$5*(1+F$6)^(1-1))*(1-F$7)-F$8*(1+S4_Proyecto!$B$9)^(1-1)-S4_Proyecto!$B$10/S4_Proyecto!$B$11)*(1-S4_Proyecto!$B$14)+S4_Proyecto!$B$10/S4_Proyecto!$B$11</f>
        <v>134850000</v>
      </c>
    </row>
    <row r="13" customFormat="false" ht="15" hidden="false" customHeight="false" outlineLevel="0" collapsed="false">
      <c r="A13" s="10" t="s">
        <v>313</v>
      </c>
      <c r="B13" s="15" t="n">
        <f aca="false">((B$5*(1+B$6)^(2-1))*(1-B$7)-B$8*(1+S4_Proyecto!$B$9)^(2-1)-S4_Proyecto!$B$10/S4_Proyecto!$B$11)*(1-S4_Proyecto!$B$14)+S4_Proyecto!$B$10/S4_Proyecto!$B$11</f>
        <v>146673500</v>
      </c>
      <c r="C13" s="15" t="n">
        <f aca="false">((C$5*(1+C$6)^(2-1))*(1-C$7)-C$8*(1+S4_Proyecto!$B$9)^(2-1)-S4_Proyecto!$B$10/S4_Proyecto!$B$11)*(1-S4_Proyecto!$B$14)+S4_Proyecto!$B$10/S4_Proyecto!$B$11</f>
        <v>121844150</v>
      </c>
      <c r="D13" s="15" t="n">
        <f aca="false">((D$5*(1+D$6)^(2-1))*(1-D$7)-D$8*(1+S4_Proyecto!$B$9)^(2-1)-S4_Proyecto!$B$10/S4_Proyecto!$B$11)*(1-S4_Proyecto!$B$14)+S4_Proyecto!$B$10/S4_Proyecto!$B$11</f>
        <v>123026500</v>
      </c>
      <c r="E13" s="15" t="n">
        <f aca="false">((E$5*(1+E$6)^(2-1))*(1-E$7)-E$8*(1+S4_Proyecto!$B$9)^(2-1)-S4_Proyecto!$B$10/S4_Proyecto!$B$11)*(1-S4_Proyecto!$B$14)+S4_Proyecto!$B$10/S4_Proyecto!$B$11</f>
        <v>137391500</v>
      </c>
      <c r="F13" s="15" t="n">
        <f aca="false">((F$5*(1+F$6)^(2-1))*(1-F$7)-F$8*(1+S4_Proyecto!$B$9)^(2-1)-S4_Proyecto!$B$10/S4_Proyecto!$B$11)*(1-S4_Proyecto!$B$14)+S4_Proyecto!$B$10/S4_Proyecto!$B$11</f>
        <v>146673500</v>
      </c>
    </row>
    <row r="14" customFormat="false" ht="15" hidden="false" customHeight="false" outlineLevel="0" collapsed="false">
      <c r="A14" s="10" t="s">
        <v>314</v>
      </c>
      <c r="B14" s="15" t="n">
        <f aca="false">((B$5*(1+B$6)^(3-1))*(1-B$7)-B$8*(1+S4_Proyecto!$B$9)^(3-1)-S4_Proyecto!$B$10/S4_Proyecto!$B$11)*(1-S4_Proyecto!$B$14)+S4_Proyecto!$B$10/S4_Proyecto!$B$11</f>
        <v>159457245</v>
      </c>
      <c r="C14" s="15" t="n">
        <f aca="false">((C$5*(1+C$6)^(3-1))*(1-C$7)-C$8*(1+S4_Proyecto!$B$9)^(3-1)-S4_Proyecto!$B$10/S4_Proyecto!$B$11)*(1-S4_Proyecto!$B$14)+S4_Proyecto!$B$10/S4_Proyecto!$B$11</f>
        <v>132889840.5</v>
      </c>
      <c r="D14" s="15" t="n">
        <f aca="false">((D$5*(1+D$6)^(3-1))*(1-D$7)-D$8*(1+S4_Proyecto!$B$9)^(3-1)-S4_Proyecto!$B$10/S4_Proyecto!$B$11)*(1-S4_Proyecto!$B$14)+S4_Proyecto!$B$10/S4_Proyecto!$B$11</f>
        <v>134154955</v>
      </c>
      <c r="E14" s="15" t="n">
        <f aca="false">((E$5*(1+E$6)^(3-1))*(1-E$7)-E$8*(1+S4_Proyecto!$B$9)^(3-1)-S4_Proyecto!$B$10/S4_Proyecto!$B$11)*(1-S4_Proyecto!$B$14)+S4_Proyecto!$B$10/S4_Proyecto!$B$11</f>
        <v>139965045</v>
      </c>
      <c r="F14" s="15" t="n">
        <f aca="false">((F$5*(1+F$6)^(3-1))*(1-F$7)-F$8*(1+S4_Proyecto!$B$9)^(3-1)-S4_Proyecto!$B$10/S4_Proyecto!$B$11)*(1-S4_Proyecto!$B$14)+S4_Proyecto!$B$10/S4_Proyecto!$B$11</f>
        <v>159457245</v>
      </c>
    </row>
    <row r="15" customFormat="false" ht="15" hidden="false" customHeight="false" outlineLevel="0" collapsed="false">
      <c r="A15" s="10" t="s">
        <v>315</v>
      </c>
      <c r="B15" s="15" t="n">
        <f aca="false">((B$5*(1+B$6)^(4-1))*(1-B$7)-B$8*(1+S4_Proyecto!$B$9)^(4-1)-S4_Proyecto!$B$10/S4_Proyecto!$B$11)*(1-S4_Proyecto!$B$14)+S4_Proyecto!$B$10/S4_Proyecto!$B$11</f>
        <v>173273756.15</v>
      </c>
      <c r="C15" s="15" t="n">
        <f aca="false">((C$5*(1+C$6)^(4-1))*(1-C$7)-C$8*(1+S4_Proyecto!$B$9)^(4-1)-S4_Proyecto!$B$10/S4_Proyecto!$B$11)*(1-S4_Proyecto!$B$14)+S4_Proyecto!$B$10/S4_Proyecto!$B$11</f>
        <v>144846633.335</v>
      </c>
      <c r="D15" s="15" t="n">
        <f aca="false">((D$5*(1+D$6)^(4-1))*(1-D$7)-D$8*(1+S4_Proyecto!$B$9)^(4-1)-S4_Proyecto!$B$10/S4_Proyecto!$B$11)*(1-S4_Proyecto!$B$14)+S4_Proyecto!$B$10/S4_Proyecto!$B$11</f>
        <v>146200305.85</v>
      </c>
      <c r="E15" s="15" t="n">
        <f aca="false">((E$5*(1+E$6)^(4-1))*(1-E$7)-E$8*(1+S4_Proyecto!$B$9)^(4-1)-S4_Proyecto!$B$10/S4_Proyecto!$B$11)*(1-S4_Proyecto!$B$14)+S4_Proyecto!$B$10/S4_Proyecto!$B$11</f>
        <v>142569828.35</v>
      </c>
      <c r="F15" s="15" t="n">
        <f aca="false">((F$5*(1+F$6)^(4-1))*(1-F$7)-F$8*(1+S4_Proyecto!$B$9)^(4-1)-S4_Proyecto!$B$10/S4_Proyecto!$B$11)*(1-S4_Proyecto!$B$14)+S4_Proyecto!$B$10/S4_Proyecto!$B$11</f>
        <v>173273756.15</v>
      </c>
    </row>
    <row r="16" customFormat="false" ht="15" hidden="false" customHeight="false" outlineLevel="0" collapsed="false">
      <c r="A16" s="10" t="s">
        <v>316</v>
      </c>
      <c r="B16" s="15" t="n">
        <f aca="false">((B$5*(1+B$6)^(5-1))*(1-B$7)-B$8*(1+S4_Proyecto!$B$9)^(5-1)-S4_Proyecto!$B$10/S4_Proyecto!$B$11)*(1-S4_Proyecto!$B$14)+S4_Proyecto!$B$10/S4_Proyecto!$B$11+S4_Proyecto!$G$27+S4_Proyecto!$G$28</f>
        <v>454700843.2405</v>
      </c>
      <c r="C16" s="15" t="n">
        <f aca="false">((C$5*(1+C$6)^(5-1))*(1-C$7)-C$8*(1+S4_Proyecto!$B$9)^(5-1)-S4_Proyecto!$B$10/S4_Proyecto!$B$11)*(1-S4_Proyecto!$B$14)+S4_Proyecto!$B$10/S4_Proyecto!$B$11+S4_Proyecto!$G$27+S4_Proyecto!$G$28</f>
        <v>424283821.82845</v>
      </c>
      <c r="D16" s="15" t="n">
        <f aca="false">((D$5*(1+D$6)^(5-1))*(1-D$7)-D$8*(1+S4_Proyecto!$B$9)^(5-1)-S4_Proyecto!$B$10/S4_Proyecto!$B$11)*(1-S4_Proyecto!$B$14)+S4_Proyecto!$B$10/S4_Proyecto!$B$11+S4_Proyecto!$G$27+S4_Proyecto!$G$28</f>
        <v>425732251.4195</v>
      </c>
      <c r="E16" s="15" t="n">
        <f aca="false">((E$5*(1+E$6)^(5-1))*(1-E$7)-E$8*(1+S4_Proyecto!$B$9)^(5-1)-S4_Proyecto!$B$10/S4_Proyecto!$B$11)*(1-S4_Proyecto!$B$14)+S4_Proyecto!$B$10/S4_Proyecto!$B$11+S4_Proyecto!$G$27+S4_Proyecto!$G$28</f>
        <v>411704948.4805</v>
      </c>
      <c r="F16" s="15" t="n">
        <f aca="false">((F$5*(1+F$6)^(5-1))*(1-F$7)-F$8*(1+S4_Proyecto!$B$9)^(5-1)-S4_Proyecto!$B$10/S4_Proyecto!$B$11)*(1-S4_Proyecto!$B$14)+S4_Proyecto!$B$10/S4_Proyecto!$B$11+S4_Proyecto!$G$27+S4_Proyecto!$G$28</f>
        <v>454700843.2405</v>
      </c>
    </row>
    <row r="17" customFormat="false" ht="15" hidden="false" customHeight="false" outlineLevel="0" collapsed="false">
      <c r="A17" s="6" t="s">
        <v>317</v>
      </c>
      <c r="B17" s="26" t="n">
        <f aca="false">NPV(B10,B12:B16)+B11</f>
        <v>115882623.277993</v>
      </c>
      <c r="C17" s="26" t="n">
        <f aca="false">NPV(C10,C12:C16)+C11</f>
        <v>38807586.6933422</v>
      </c>
      <c r="D17" s="26" t="n">
        <f aca="false">NPV(D10,D12:D16)+D11</f>
        <v>42477826.5307063</v>
      </c>
      <c r="E17" s="26" t="n">
        <f aca="false">NPV(E10,E12:E16)+E11</f>
        <v>66793605.1923919</v>
      </c>
      <c r="F17" s="26" t="n">
        <f aca="false">NPV(F10,F12:F16)+F11</f>
        <v>73352622.5665105</v>
      </c>
    </row>
    <row r="18" customFormat="false" ht="15" hidden="false" customHeight="false" outlineLevel="0" collapsed="false">
      <c r="A18" s="6" t="s">
        <v>291</v>
      </c>
      <c r="B18" s="17" t="n">
        <f aca="false">IRR(B11:B16)</f>
        <v>0.296395308360808</v>
      </c>
      <c r="C18" s="17" t="n">
        <f aca="false">IRR(C11:C16)</f>
        <v>0.235665857625578</v>
      </c>
      <c r="D18" s="17" t="n">
        <f aca="false">IRR(D11:D16)</f>
        <v>0.238588584422979</v>
      </c>
      <c r="E18" s="17" t="n">
        <f aca="false">IRR(E11:E16)</f>
        <v>0.259756840416325</v>
      </c>
      <c r="F18" s="17" t="n">
        <f aca="false">IRR(F11:F16)</f>
        <v>0.296395308360808</v>
      </c>
    </row>
    <row r="19" customFormat="false" ht="15" hidden="false" customHeight="false" outlineLevel="0" collapsed="false">
      <c r="A19" s="10" t="s">
        <v>318</v>
      </c>
      <c r="B19" s="18" t="n">
        <f aca="false">B17/$B$17-1</f>
        <v>0</v>
      </c>
      <c r="C19" s="18" t="n">
        <f aca="false">C17/$B$17-1</f>
        <v>-0.665112977290428</v>
      </c>
      <c r="D19" s="18" t="n">
        <f aca="false">D17/$B$17-1</f>
        <v>-0.63344093075279</v>
      </c>
      <c r="E19" s="18" t="n">
        <f aca="false">E17/$B$17-1</f>
        <v>-0.423609827746484</v>
      </c>
      <c r="F19" s="18" t="n">
        <f aca="false">F17/$B$17-1</f>
        <v>-0.367009302244192</v>
      </c>
    </row>
    <row r="21" customFormat="false" ht="15" hidden="false" customHeight="false" outlineLevel="0" collapsed="false">
      <c r="A21" s="2" t="s">
        <v>319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2026-10-11T18:58:24Z</dcterms:created>
  <dc:creator>openpyxl</dc:creator>
  <dc:description/>
  <dc:language>en-US</dc:language>
  <cp:lastModifiedBy/>
  <dcterms:modified xsi:type="dcterms:W3CDTF">2026-10-11T13:58:27Z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