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9.xml.rels" ContentType="application/vnd.openxmlformats-package.relationships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dice" sheetId="1" state="visible" r:id="rId3"/>
    <sheet name="Ajustes" sheetId="2" state="visible" r:id="rId4"/>
    <sheet name="C1" sheetId="3" state="visible" r:id="rId5"/>
    <sheet name="C2" sheetId="4" state="visible" r:id="rId6"/>
    <sheet name="C3" sheetId="5" state="visible" r:id="rId7"/>
    <sheet name="C4" sheetId="6" state="visible" r:id="rId8"/>
    <sheet name="C5" sheetId="7" state="visible" r:id="rId9"/>
    <sheet name="C6" sheetId="8" state="visible" r:id="rId10"/>
    <sheet name="C7" sheetId="9" state="visible" r:id="rId11"/>
    <sheet name="C8" sheetId="10" state="visible" r:id="rId12"/>
    <sheet name="C9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<sst xmlns="http://schemas.openxmlformats.org/spreadsheetml/2006/main" count="398" uniqueCount="226">
  <si>
    <t xml:space="preserve">Taller de amortización: nueve créditos</t>
  </si>
  <si>
    <t xml:space="preserve">Basado en el desarrollo en Excel de Arnulfo Camacho Celis (especialización en finanzas), revisado y ajustado para el curso Matemáticas para la Toma de Decisiones (Esp. Gerencia Financiera).</t>
  </si>
  <si>
    <t xml:space="preserve">Celdas amarillas con texto azul: datos editables. Celdas naranja: resultados clave. Cada hoja verifica que el saldo final sea cero y que el valor presente de las cuotas sea igual al monto.</t>
  </si>
  <si>
    <t xml:space="preserve">N.º</t>
  </si>
  <si>
    <t xml:space="preserve">Crédito</t>
  </si>
  <si>
    <t xml:space="preserve">Monto ($)</t>
  </si>
  <si>
    <t xml:space="preserve">Tasa</t>
  </si>
  <si>
    <t xml:space="preserve">Plazo</t>
  </si>
  <si>
    <t xml:space="preserve">Periodicidad de pago</t>
  </si>
  <si>
    <t xml:space="preserve">Sistema</t>
  </si>
  <si>
    <t xml:space="preserve">Hoja</t>
  </si>
  <si>
    <t xml:space="preserve">Capital de trabajo</t>
  </si>
  <si>
    <t xml:space="preserve">9,85 % N.A.A.A.</t>
  </si>
  <si>
    <t xml:space="preserve">24 meses</t>
  </si>
  <si>
    <t xml:space="preserve">Cada 45 días vencidos</t>
  </si>
  <si>
    <t xml:space="preserve">Cuota fija</t>
  </si>
  <si>
    <t xml:space="preserve">C1</t>
  </si>
  <si>
    <t xml:space="preserve">Crédito de inversión</t>
  </si>
  <si>
    <t xml:space="preserve">11,23 % N.T.A.</t>
  </si>
  <si>
    <t xml:space="preserve">48 meses</t>
  </si>
  <si>
    <t xml:space="preserve">Bimestre vencido</t>
  </si>
  <si>
    <t xml:space="preserve">Abono constante a capital</t>
  </si>
  <si>
    <t xml:space="preserve">C2</t>
  </si>
  <si>
    <t xml:space="preserve">Leasing financiero</t>
  </si>
  <si>
    <t xml:space="preserve">14,69 % N.A.D.A.</t>
  </si>
  <si>
    <t xml:space="preserve">8 años</t>
  </si>
  <si>
    <t xml:space="preserve">Cuatrimestre vencido</t>
  </si>
  <si>
    <t xml:space="preserve">Cuota fija con opción de compra del 11 %</t>
  </si>
  <si>
    <t xml:space="preserve">C3</t>
  </si>
  <si>
    <t xml:space="preserve">Fomento con gracia muerta</t>
  </si>
  <si>
    <t xml:space="preserve">15,11 % N.A.B.A.</t>
  </si>
  <si>
    <t xml:space="preserve">15 años (60 trimestres)</t>
  </si>
  <si>
    <t xml:space="preserve">Semestre vencido</t>
  </si>
  <si>
    <t xml:space="preserve">Abono constante, 3 años de gracia muerta</t>
  </si>
  <si>
    <t xml:space="preserve">C4</t>
  </si>
  <si>
    <t xml:space="preserve">Fomento con gracia simple</t>
  </si>
  <si>
    <t xml:space="preserve">14,65 % E.A. (N.A.A.V.)</t>
  </si>
  <si>
    <t xml:space="preserve">96 meses</t>
  </si>
  <si>
    <t xml:space="preserve">Trimestre vencido</t>
  </si>
  <si>
    <t xml:space="preserve">Abono constante, 5 trimestres de gracia con pago de intereses</t>
  </si>
  <si>
    <t xml:space="preserve">C5</t>
  </si>
  <si>
    <t xml:space="preserve">Crédito empresarial</t>
  </si>
  <si>
    <t xml:space="preserve">2,72 % bimestral vencida</t>
  </si>
  <si>
    <t xml:space="preserve">9 años</t>
  </si>
  <si>
    <t xml:space="preserve">C6</t>
  </si>
  <si>
    <t xml:space="preserve">Gradiente aritmético creciente</t>
  </si>
  <si>
    <t xml:space="preserve">12,67 % N.A.D.A.</t>
  </si>
  <si>
    <t xml:space="preserve">12 años</t>
  </si>
  <si>
    <t xml:space="preserve">Mes vencido</t>
  </si>
  <si>
    <t xml:space="preserve">Cuota que crece $110.000 cada mes</t>
  </si>
  <si>
    <t xml:space="preserve">C7</t>
  </si>
  <si>
    <t xml:space="preserve">Gradiente geométrico</t>
  </si>
  <si>
    <t xml:space="preserve">2,6433 % trimestral vencida (11 % E.A.)</t>
  </si>
  <si>
    <t xml:space="preserve">Año vencido</t>
  </si>
  <si>
    <t xml:space="preserve">Cuota que crece 11 % cada año</t>
  </si>
  <si>
    <t xml:space="preserve">C8</t>
  </si>
  <si>
    <t xml:space="preserve">Gradiente aritmético decreciente</t>
  </si>
  <si>
    <t xml:space="preserve">21,21 % N.A.Q.A.</t>
  </si>
  <si>
    <t xml:space="preserve">5 años</t>
  </si>
  <si>
    <t xml:space="preserve">Cuota que disminuye $850.000 cada trimestre</t>
  </si>
  <si>
    <t xml:space="preserve">C9</t>
  </si>
  <si>
    <t xml:space="preserve">Notación de tasas</t>
  </si>
  <si>
    <t xml:space="preserve">N.A.A.A.</t>
  </si>
  <si>
    <t xml:space="preserve">Nominal anual, capitalización anual anticipada</t>
  </si>
  <si>
    <t xml:space="preserve">N.T.A.</t>
  </si>
  <si>
    <t xml:space="preserve">Nominal anual, capitalización trimestral anticipada</t>
  </si>
  <si>
    <t xml:space="preserve">N.A.D.A.</t>
  </si>
  <si>
    <t xml:space="preserve">Nominal anual, capitalización diaria anticipada (año de 360 días)</t>
  </si>
  <si>
    <t xml:space="preserve">N.A.B.A.</t>
  </si>
  <si>
    <t xml:space="preserve">Nominal anual, capitalización bimestral anticipada</t>
  </si>
  <si>
    <t xml:space="preserve">N.A.A.V.</t>
  </si>
  <si>
    <t xml:space="preserve">Nominal anual, capitalización anual vencida (= efectiva anual)</t>
  </si>
  <si>
    <t xml:space="preserve">N.A.Q.A.</t>
  </si>
  <si>
    <t xml:space="preserve">Nominal anual, capitalización quincenal anticipada</t>
  </si>
  <si>
    <t xml:space="preserve">Convenciones</t>
  </si>
  <si>
    <t xml:space="preserve">Año comercial de 360 días: periodo de 45 días = 8 por año; mes = 30 días; cuatrimestre = 120 días</t>
  </si>
  <si>
    <t xml:space="preserve">Anticipada → vencida</t>
  </si>
  <si>
    <t xml:space="preserve">i vencida = i anticipada / (1 − i anticipada)</t>
  </si>
  <si>
    <t xml:space="preserve">Entre periodos</t>
  </si>
  <si>
    <t xml:space="preserve">i₂ = (1 + i₁)^(días₂/días₁) − 1</t>
  </si>
  <si>
    <t xml:space="preserve">Revisión del archivo original y ajustes</t>
  </si>
  <si>
    <t xml:space="preserve">Comparación con Tarea_Amortizacion_ArnulfoCamachoCelis.xlsx. El archivo original no se modificó.</t>
  </si>
  <si>
    <t xml:space="preserve">Qué se encontró</t>
  </si>
  <si>
    <t xml:space="preserve">Ajuste aplicado</t>
  </si>
  <si>
    <t xml:space="preserve">Efecto en el resultado</t>
  </si>
  <si>
    <t xml:space="preserve">1</t>
  </si>
  <si>
    <t xml:space="preserve">Correcto. La cuota estaba escrita como valor fijo (probablemente con Buscar objetivo).</t>
  </si>
  <si>
    <t xml:space="preserve">La cuota se calcula con =PAGO para que la hoja responda a cambios en los datos.</t>
  </si>
  <si>
    <t xml:space="preserve">Sin cambio: cuota de $4.589.917.</t>
  </si>
  <si>
    <t xml:space="preserve">2</t>
  </si>
  <si>
    <t xml:space="preserve">El enunciado pide abonos iguales a capital, pero la tabla usaba cuota fija. El plazo de 48 meses son 24 bimestres; la hoja indicaba 12 y la tabla tenía 16 filas. La tasa "11,23 % TA" leída como trimestral periódica equivale a 61 % E.A., fuera de mercado.</t>
  </si>
  <si>
    <t xml:space="preserve">Sistema de abono constante, 24 bimestres. Tasa interpretada como 11,23 % N.T.A. (12,06 % E.A.). Se agrega la comparación con cuota fija.</t>
  </si>
  <si>
    <t xml:space="preserve">Abono de $39.665.135; primera cuota $57.910.249.</t>
  </si>
  <si>
    <t xml:space="preserve">3</t>
  </si>
  <si>
    <t xml:space="preserve">Correcto. Leasing con opción de compra y año de 360 días.</t>
  </si>
  <si>
    <t xml:space="preserve">Se agrega el pago de la opción de compra al final de la tabla.</t>
  </si>
  <si>
    <t xml:space="preserve">Sin cambio: canon de $45.896.468.</t>
  </si>
  <si>
    <t xml:space="preserve">4</t>
  </si>
  <si>
    <t xml:space="preserve">El enunciado pide gracia muerta (sin pagos, intereses capitalizados), pero la tabla cobraba intereses durante la gracia (gracia simple). El plazo total es de 30 semestres; la tabla tenía 24. La columna de cuota tenía un valor fijo que no correspondía a intereses + abono.</t>
  </si>
  <si>
    <t xml:space="preserve">Gracia muerta de 6 semestres con capitalización y 24 abonos iguales sobre el saldo capitalizado.</t>
  </si>
  <si>
    <t xml:space="preserve">Saldo al final de la gracia: $2.304.689.445; abono de $96.028.727.</t>
  </si>
  <si>
    <t xml:space="preserve">5</t>
  </si>
  <si>
    <t xml:space="preserve">La columna de cuota se copió del crédito 4 ($196.700.722) y no correspondía a intereses + abono. La tasa de 39,65 % E.A. está fuera de mercado para un crédito de fomento.</t>
  </si>
  <si>
    <t xml:space="preserve">Cuota = intereses + abono. Tasa actualizada a 14,65 % E.A. (el original se conserva como dato de referencia en la hoja).</t>
  </si>
  <si>
    <t xml:space="preserve">Abono de $36.296.296 (igual). Las cuotas cambian por la tasa.</t>
  </si>
  <si>
    <t xml:space="preserve">6 (7 en el original)</t>
  </si>
  <si>
    <t xml:space="preserve">Correcto. Se renumera porque el original no tenía crédito 6.</t>
  </si>
  <si>
    <t xml:space="preserve">Cuota con =PAGO.</t>
  </si>
  <si>
    <t xml:space="preserve">Sin cambio: cuota de $48.064.190.</t>
  </si>
  <si>
    <t xml:space="preserve">7 (8 en el original)</t>
  </si>
  <si>
    <t xml:space="preserve">El gradiente del enunciado es $110.000, pero la hoja usaba $11.000. La etiqueta del plazo decía "Trimestres" y son meses.</t>
  </si>
  <si>
    <t xml:space="preserve">Gradiente de $110.000; primera cuota calculada con la fórmula del gradiente aritmético.</t>
  </si>
  <si>
    <t xml:space="preserve">Primera cuota de $11.114.519 (antes $16.452.554).</t>
  </si>
  <si>
    <t xml:space="preserve">8 (9 en el original)</t>
  </si>
  <si>
    <t xml:space="preserve">La primera cuota ($77.366.429) no correspondía y el saldo quedaba negativo desde el año 8. Como g = i = 11 %, aplica el caso especial P = A·n/(1+i).</t>
  </si>
  <si>
    <t xml:space="preserve">Primera cuota = P(1+i)/n.</t>
  </si>
  <si>
    <t xml:space="preserve">Primera cuota de $50.863.476; el saldo crece el primer año (amortización negativa) y llega a cero en el año 12.</t>
  </si>
  <si>
    <t xml:space="preserve">9 (10 en el original)</t>
  </si>
  <si>
    <t xml:space="preserve">Correcto. La cuota estaba escrita como valor fijo.</t>
  </si>
  <si>
    <t xml:space="preserve">Primera cuota calculada con la fórmula del gradiente aritmético decreciente.</t>
  </si>
  <si>
    <t xml:space="preserve">Sin cambio: primera cuota de $1.137.574.342.</t>
  </si>
  <si>
    <t xml:space="preserve">Crédito 1 · Capital de trabajo con cuota fija cada 45 días</t>
  </si>
  <si>
    <t xml:space="preserve">Monto $65.894.756; tasa 9,85 % N.A.A.A.; plazo 24 meses; cuota fija cada 45 días vencidos.</t>
  </si>
  <si>
    <t xml:space="preserve">Datos</t>
  </si>
  <si>
    <t xml:space="preserve">Periodo</t>
  </si>
  <si>
    <t xml:space="preserve">Saldo inicial</t>
  </si>
  <si>
    <t xml:space="preserve">Intereses</t>
  </si>
  <si>
    <t xml:space="preserve">Abono a capital</t>
  </si>
  <si>
    <t xml:space="preserve">Cuota</t>
  </si>
  <si>
    <t xml:space="preserve">Saldo final</t>
  </si>
  <si>
    <t xml:space="preserve">Monto (P)</t>
  </si>
  <si>
    <t xml:space="preserve">Tasa nominal anual anticipada</t>
  </si>
  <si>
    <t xml:space="preserve">N.A.A.A.: un solo periodo anticipado en el año</t>
  </si>
  <si>
    <t xml:space="preserve">Días del periodo de pago</t>
  </si>
  <si>
    <t xml:space="preserve">Año de 360 días</t>
  </si>
  <si>
    <t xml:space="preserve">Plazo en meses</t>
  </si>
  <si>
    <t xml:space="preserve">Conversión de la tasa</t>
  </si>
  <si>
    <t xml:space="preserve">Tasa efectiva anual</t>
  </si>
  <si>
    <t xml:space="preserve">Anticipada → vencida (m = 1)</t>
  </si>
  <si>
    <t xml:space="preserve">Tasa efectiva por periodo de 45 días</t>
  </si>
  <si>
    <t xml:space="preserve">(1 + E.A.)^(45/360) − 1</t>
  </si>
  <si>
    <t xml:space="preserve">Número de pagos</t>
  </si>
  <si>
    <t xml:space="preserve">=PAGO(i;n;-P)</t>
  </si>
  <si>
    <t xml:space="preserve">Resumen y verificación</t>
  </si>
  <si>
    <t xml:space="preserve">Total de intereses</t>
  </si>
  <si>
    <t xml:space="preserve">Total pagado</t>
  </si>
  <si>
    <t xml:space="preserve">Saldo final (debe ser cero)</t>
  </si>
  <si>
    <t xml:space="preserve">VP de los pagos a la tasa del crédito (debe ser igual al monto)</t>
  </si>
  <si>
    <t xml:space="preserve">Verificación</t>
  </si>
  <si>
    <t xml:space="preserve">Saldo después del pago 8</t>
  </si>
  <si>
    <t xml:space="preserve">Crédito 2 · Inversión con abonos iguales a capital, pagos bimestrales</t>
  </si>
  <si>
    <t xml:space="preserve">Monto $951.963.241; tasa 11,23 % N.T.A.; plazo 48 meses; abonos iguales a capital cada bimestre vencido.</t>
  </si>
  <si>
    <t xml:space="preserve">Tasa nominal anual trimestre anticipado</t>
  </si>
  <si>
    <t xml:space="preserve">Tasa en el original: 11,23 % TA periódica (≈ 61 % E.A.)</t>
  </si>
  <si>
    <t xml:space="preserve">Dato del archivo original (no se usa en los cálculos)</t>
  </si>
  <si>
    <t xml:space="preserve">Tasa trimestral anticipada</t>
  </si>
  <si>
    <t xml:space="preserve">Tasa trimestral vencida</t>
  </si>
  <si>
    <t xml:space="preserve">i = iₐ/(1 − iₐ)</t>
  </si>
  <si>
    <t xml:space="preserve">Tasa efectiva anual (referencia)</t>
  </si>
  <si>
    <t xml:space="preserve">Tasa bimestral vencida</t>
  </si>
  <si>
    <t xml:space="preserve">(1 + TV)^(2/3) − 1</t>
  </si>
  <si>
    <t xml:space="preserve">Número de bimestres</t>
  </si>
  <si>
    <t xml:space="preserve">Comparación: cuota fija equivalente</t>
  </si>
  <si>
    <t xml:space="preserve">Total de intereses con cuota fija (comparación)</t>
  </si>
  <si>
    <t xml:space="preserve">Crédito 3 · Leasing financiero con cánones cuatrimestrales y opción de compra</t>
  </si>
  <si>
    <t xml:space="preserve">Valor del activo $654.321.789; tasa 14,69 % N.A.D.A.; plazo 8 años; cánones cuatrimestrales vencidos; opción de compra del 11 %.</t>
  </si>
  <si>
    <t xml:space="preserve">Valor del activo (P)</t>
  </si>
  <si>
    <t xml:space="preserve">Tasa nominal anual día anticipado</t>
  </si>
  <si>
    <t xml:space="preserve">N.A.D.A., año de 360 días</t>
  </si>
  <si>
    <t xml:space="preserve">Plazo en años</t>
  </si>
  <si>
    <t xml:space="preserve">Opción de compra (% del valor)</t>
  </si>
  <si>
    <t xml:space="preserve">Tasa diaria anticipada</t>
  </si>
  <si>
    <t xml:space="preserve">Tasa diaria vencida</t>
  </si>
  <si>
    <t xml:space="preserve">Tasa cuatrimestral vencida</t>
  </si>
  <si>
    <t xml:space="preserve">120 días</t>
  </si>
  <si>
    <t xml:space="preserve">Valor de la opción de compra</t>
  </si>
  <si>
    <t xml:space="preserve">Número de cánones</t>
  </si>
  <si>
    <t xml:space="preserve">Canon (cuota fija)</t>
  </si>
  <si>
    <t xml:space="preserve">=PAGO(i;n;-P;opción de compra)</t>
  </si>
  <si>
    <t xml:space="preserve">Opción</t>
  </si>
  <si>
    <t xml:space="preserve">Crédito 4 · Fomento con 3 años de gracia muerta y abonos iguales semestrales</t>
  </si>
  <si>
    <t xml:space="preserve">Monto $1.456.214.789; tasa 15,11 % N.A.B.A.; plazo total 60 trimestres (15 años); pagos semestrales vencidos; abonos iguales a capital; 3 años de gracia muerta.</t>
  </si>
  <si>
    <t xml:space="preserve">Tasa nominal anual bimestre anticipado</t>
  </si>
  <si>
    <t xml:space="preserve">Plazo total en trimestres</t>
  </si>
  <si>
    <t xml:space="preserve">Incluye la gracia</t>
  </si>
  <si>
    <t xml:space="preserve">Tasa bimestral anticipada</t>
  </si>
  <si>
    <t xml:space="preserve">Tasa semestral vencida</t>
  </si>
  <si>
    <t xml:space="preserve">Un semestre = 3 bimestres</t>
  </si>
  <si>
    <t xml:space="preserve">Número de semestres (total)</t>
  </si>
  <si>
    <t xml:space="preserve">Periodos de gracia</t>
  </si>
  <si>
    <t xml:space="preserve">Saldo al final de la gracia (intereses capitalizados)</t>
  </si>
  <si>
    <t xml:space="preserve">Crédito 5 · Fomento con gracia simple y abonos iguales trimestrales</t>
  </si>
  <si>
    <t xml:space="preserve">Monto $980.000.000; tasa 14,65 % E.A. (N.A.A.V.); plazo 96 meses; pagos trimestrales vencidos; abonos iguales a capital; 5 trimestres de gracia pagando intereses.</t>
  </si>
  <si>
    <t xml:space="preserve">Tasa efectiva anual (N.A.A.V.)</t>
  </si>
  <si>
    <t xml:space="preserve">Nominal anual año vencido = efectiva anual</t>
  </si>
  <si>
    <t xml:space="preserve">Tasa en el original (fuera de mercado)</t>
  </si>
  <si>
    <t xml:space="preserve">Número de trimestres (total)</t>
  </si>
  <si>
    <t xml:space="preserve">Cuota durante la gracia (solo intereses)</t>
  </si>
  <si>
    <t xml:space="preserve">Crédito 6 · Cuota fija trimestral con tasa bimestral</t>
  </si>
  <si>
    <t xml:space="preserve">Monto $895.421.365; tasa 2,72 % bimestral vencida; plazo 9 años; cuota fija trimestral vencida.</t>
  </si>
  <si>
    <t xml:space="preserve">Un trimestre = 1,5 bimestres</t>
  </si>
  <si>
    <t xml:space="preserve">Número de trimestres</t>
  </si>
  <si>
    <t xml:space="preserve">Crédito 7 · Gradiente aritmético creciente mensual</t>
  </si>
  <si>
    <t xml:space="preserve">Monto $1.254.698.741; tasa 12,67 % N.A.D.A.; plazo 12 años; cuotas mensuales vencidas que crecen $110.000 cada mes.</t>
  </si>
  <si>
    <t xml:space="preserve">Tasa mensual vencida</t>
  </si>
  <si>
    <t xml:space="preserve">Mes de 30 días</t>
  </si>
  <si>
    <t xml:space="preserve">Número de meses</t>
  </si>
  <si>
    <t xml:space="preserve">Gradiente (cambio de la cuota por periodo)</t>
  </si>
  <si>
    <t xml:space="preserve">Primera cuota</t>
  </si>
  <si>
    <t xml:space="preserve">A = [P − (G/i)·(a − n·vⁿ)] / a, con a = [1 − (1+i)⁻ⁿ]/i</t>
  </si>
  <si>
    <t xml:space="preserve">Saldo después de la cuota 60</t>
  </si>
  <si>
    <t xml:space="preserve">Última cuota</t>
  </si>
  <si>
    <t xml:space="preserve">Crédito 8 · Gradiente geométrico anual (crecimiento igual a la tasa)</t>
  </si>
  <si>
    <t xml:space="preserve">Monto $549.875.412; tasa 2,6433 % trimestral vencida (11 % E.A.); plazo 12 años; cuotas anuales vencidas que crecen 11 % cada año.</t>
  </si>
  <si>
    <t xml:space="preserve">Equivale exactamente a 11 % E.A.</t>
  </si>
  <si>
    <t xml:space="preserve">Número de años</t>
  </si>
  <si>
    <t xml:space="preserve">Crecimiento de la cuota (g)</t>
  </si>
  <si>
    <t xml:space="preserve">Si g = i: A = P(1+i)/n; si no: A = P(i − g)/[1 − ((1+g)/(1+i))ⁿ]</t>
  </si>
  <si>
    <t xml:space="preserve">Saldo después de la cuota 1 (amortización negativa)</t>
  </si>
  <si>
    <t xml:space="preserve">Crédito 9 · Gradiente aritmético decreciente trimestral</t>
  </si>
  <si>
    <t xml:space="preserve">Monto $13.548.796.214; tasa 21,21 % N.A.Q.A.; plazo 5 años; cuotas trimestrales vencidas que disminuyen $850.000 cada trimestre.</t>
  </si>
  <si>
    <t xml:space="preserve">Tasa nominal anual quincena anticipada</t>
  </si>
  <si>
    <t xml:space="preserve">N.A.Q.A.: 24 quincenas</t>
  </si>
  <si>
    <t xml:space="preserve">Tasa quincenal anticipada</t>
  </si>
  <si>
    <t xml:space="preserve">Tasa quincenal vencida</t>
  </si>
  <si>
    <t xml:space="preserve">Un trimestre = 6 quincenas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</si>
</sst>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[RED]&quot;-$&quot;#,##0;\-"/>
    <numFmt numFmtId="166" formatCode="0"/>
    <numFmt numFmtId="167" formatCode="\$#,##0.00;[RED]&quot;-$&quot;#,##0.00;\$0.00"/>
    <numFmt numFmtId="168" formatCode="0.00%"/>
    <numFmt numFmtId="169" formatCode="0.0000%"/>
    <numFmt numFmtId="170" formatCode="0.00000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563C1"/>
      <name val="Arial"/>
      <family val="0"/>
      <charset val="1"/>
    </font>
    <font>
      <b val="true"/>
      <sz val="11"/>
      <color rgb="FFC55A11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7F7F7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BE5D6"/>
      </patternFill>
    </fill>
    <fill>
      <patternFill patternType="solid">
        <fgColor rgb="FFFBE5D6"/>
        <bgColor rgb="FFFFF2CC"/>
      </patternFill>
    </fill>
    <fill>
      <patternFill patternType="solid">
        <fgColor rgb="FFE2EFDA"/>
        <bgColor rgb="FFFBE5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1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BE5D6"/>
      <rgbColor rgb="FF4A7EBB"/>
      <rgbColor rgb="FF33CCCC"/>
      <rgbColor rgb="FF99CC00"/>
      <rgbColor rgb="FFFFCC00"/>
      <rgbColor rgb="FFFF9900"/>
      <rgbColor rgb="FFC55A11"/>
      <rgbColor rgb="FF595959"/>
      <rgbColor rgb="FF87878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del crédito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C1!$E$5:$E$20</c:f>
              <c:strCach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strCache>
            </c:strRef>
          </c:cat>
          <c:val>
            <c:numRef>
              <c:f>C1!$J$5:$J$20</c:f>
              <c:numCache>
                <c:formatCode>\$#,##0.00;[RED]"-$"#,##0.00;\$0.00</c:formatCode>
                <c:ptCount val="16"/>
                <c:pt idx="0">
                  <c:v>62164520.45</c:v>
                </c:pt>
                <c:pt idx="1">
                  <c:v>58385619.22</c:v>
                </c:pt>
                <c:pt idx="2">
                  <c:v>54557417.41</c:v>
                </c:pt>
                <c:pt idx="3">
                  <c:v>50679271.83</c:v>
                </c:pt>
                <c:pt idx="4">
                  <c:v>46750530.9</c:v>
                </c:pt>
                <c:pt idx="5">
                  <c:v>42770534.54</c:v>
                </c:pt>
                <c:pt idx="6">
                  <c:v>38738614.06</c:v>
                </c:pt>
                <c:pt idx="7">
                  <c:v>34654092.04</c:v>
                </c:pt>
                <c:pt idx="8">
                  <c:v>30516282.22</c:v>
                </c:pt>
                <c:pt idx="9">
                  <c:v>26324489.4</c:v>
                </c:pt>
                <c:pt idx="10">
                  <c:v>22078009.3</c:v>
                </c:pt>
                <c:pt idx="11">
                  <c:v>17776128.46</c:v>
                </c:pt>
                <c:pt idx="12">
                  <c:v>13418124.1</c:v>
                </c:pt>
                <c:pt idx="13">
                  <c:v>9003264.02</c:v>
                </c:pt>
                <c:pt idx="14">
                  <c:v>4530806.47</c:v>
                </c:pt>
                <c:pt idx="15">
                  <c:v>0.01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0535173"/>
        <c:axId val="63950610"/>
      </c:lineChart>
      <c:catAx>
        <c:axId val="7053517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950610"/>
        <c:crosses val="autoZero"/>
        <c:auto val="1"/>
        <c:lblAlgn val="ctr"/>
        <c:lblOffset val="100"/>
        <c:noMultiLvlLbl val="0"/>
      </c:catAx>
      <c:valAx>
        <c:axId val="6395061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;[RED]&quot;-$&quot;#,##0.00;\$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53517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del crédito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C2!$E$5:$E$28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C2!$J$5:$J$28</c:f>
              <c:numCache>
                <c:formatCode>\$#,##0.00;[RED]"-$"#,##0.00;\$0.00</c:formatCode>
                <c:ptCount val="24"/>
                <c:pt idx="0">
                  <c:v>912298105.96</c:v>
                </c:pt>
                <c:pt idx="1">
                  <c:v>872632970.92</c:v>
                </c:pt>
                <c:pt idx="2">
                  <c:v>832967835.88</c:v>
                </c:pt>
                <c:pt idx="3">
                  <c:v>793302700.84</c:v>
                </c:pt>
                <c:pt idx="4">
                  <c:v>753637565.8</c:v>
                </c:pt>
                <c:pt idx="5">
                  <c:v>713972430.76</c:v>
                </c:pt>
                <c:pt idx="6">
                  <c:v>674307295.72</c:v>
                </c:pt>
                <c:pt idx="7">
                  <c:v>634642160.68</c:v>
                </c:pt>
                <c:pt idx="8">
                  <c:v>594977025.64</c:v>
                </c:pt>
                <c:pt idx="9">
                  <c:v>555311890.6</c:v>
                </c:pt>
                <c:pt idx="10">
                  <c:v>515646755.56</c:v>
                </c:pt>
                <c:pt idx="11">
                  <c:v>475981620.52</c:v>
                </c:pt>
                <c:pt idx="12">
                  <c:v>436316485.48</c:v>
                </c:pt>
                <c:pt idx="13">
                  <c:v>396651350.44</c:v>
                </c:pt>
                <c:pt idx="14">
                  <c:v>356986215.4</c:v>
                </c:pt>
                <c:pt idx="15">
                  <c:v>317321080.36</c:v>
                </c:pt>
                <c:pt idx="16">
                  <c:v>277655945.32</c:v>
                </c:pt>
                <c:pt idx="17">
                  <c:v>237990810.28</c:v>
                </c:pt>
                <c:pt idx="18">
                  <c:v>198325675.24</c:v>
                </c:pt>
                <c:pt idx="19">
                  <c:v>158660540.2</c:v>
                </c:pt>
                <c:pt idx="20">
                  <c:v>118995405.16</c:v>
                </c:pt>
                <c:pt idx="21">
                  <c:v>79330270.12</c:v>
                </c:pt>
                <c:pt idx="22">
                  <c:v>39665135.08</c:v>
                </c:pt>
                <c:pt idx="23">
                  <c:v>0.04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990686"/>
        <c:axId val="44197044"/>
      </c:lineChart>
      <c:catAx>
        <c:axId val="499068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197044"/>
        <c:crosses val="autoZero"/>
        <c:auto val="1"/>
        <c:lblAlgn val="ctr"/>
        <c:lblOffset val="100"/>
        <c:noMultiLvlLbl val="0"/>
      </c:catAx>
      <c:valAx>
        <c:axId val="4419704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;[RED]&quot;-$&quot;#,##0.00;\$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9068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del crédito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C3!$E$5:$E$28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C3!$J$5:$J$28</c:f>
              <c:numCache>
                <c:formatCode>\$#,##0.00;[RED]"-$"#,##0.00;\$0.00</c:formatCode>
                <c:ptCount val="24"/>
                <c:pt idx="0">
                  <c:v>641269552.17</c:v>
                </c:pt>
                <c:pt idx="1">
                  <c:v>627562147.36</c:v>
                </c:pt>
                <c:pt idx="2">
                  <c:v>613166687.87</c:v>
                </c:pt>
                <c:pt idx="3">
                  <c:v>598048636.21</c:v>
                </c:pt>
                <c:pt idx="4">
                  <c:v>582171721.27</c:v>
                </c:pt>
                <c:pt idx="5">
                  <c:v>565497851.27</c:v>
                </c:pt>
                <c:pt idx="6">
                  <c:v>547987022.37</c:v>
                </c:pt>
                <c:pt idx="7">
                  <c:v>529597222.73</c:v>
                </c:pt>
                <c:pt idx="8">
                  <c:v>510284331.67</c:v>
                </c:pt>
                <c:pt idx="9">
                  <c:v>490002013.84</c:v>
                </c:pt>
                <c:pt idx="10">
                  <c:v>468701608.06</c:v>
                </c:pt>
                <c:pt idx="11">
                  <c:v>446332010.54</c:v>
                </c:pt>
                <c:pt idx="12">
                  <c:v>422839552.31</c:v>
                </c:pt>
                <c:pt idx="13">
                  <c:v>398167870.43</c:v>
                </c:pt>
                <c:pt idx="14">
                  <c:v>372257772.79</c:v>
                </c:pt>
                <c:pt idx="15">
                  <c:v>345047096.06</c:v>
                </c:pt>
                <c:pt idx="16">
                  <c:v>316470556.59</c:v>
                </c:pt>
                <c:pt idx="17">
                  <c:v>286459593.75</c:v>
                </c:pt>
                <c:pt idx="18">
                  <c:v>254942205.45</c:v>
                </c:pt>
                <c:pt idx="19">
                  <c:v>221842775.41</c:v>
                </c:pt>
                <c:pt idx="20">
                  <c:v>187081891.72</c:v>
                </c:pt>
                <c:pt idx="21">
                  <c:v>150576156.31</c:v>
                </c:pt>
                <c:pt idx="22">
                  <c:v>112237984.89</c:v>
                </c:pt>
                <c:pt idx="23">
                  <c:v>71975396.8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7270570"/>
        <c:axId val="91757582"/>
      </c:lineChart>
      <c:catAx>
        <c:axId val="7727057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757582"/>
        <c:crosses val="autoZero"/>
        <c:auto val="1"/>
        <c:lblAlgn val="ctr"/>
        <c:lblOffset val="100"/>
        <c:noMultiLvlLbl val="0"/>
      </c:catAx>
      <c:valAx>
        <c:axId val="9175758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;[RED]&quot;-$&quot;#,##0.00;\$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27057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del crédito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C4!$E$5:$E$34</c:f>
              <c:strCach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strCache>
            </c:strRef>
          </c:cat>
          <c:val>
            <c:numRef>
              <c:f>C4!$J$5:$J$34</c:f>
              <c:numCache>
                <c:formatCode>\$#,##0.00;[RED]"-$"#,##0.00;\$0.00</c:formatCode>
                <c:ptCount val="30"/>
                <c:pt idx="0">
                  <c:v>1572014689.41</c:v>
                </c:pt>
                <c:pt idx="1">
                  <c:v>1697023133.12</c:v>
                </c:pt>
                <c:pt idx="2">
                  <c:v>1831972394.24</c:v>
                </c:pt>
                <c:pt idx="3">
                  <c:v>1977652978.18</c:v>
                </c:pt>
                <c:pt idx="4">
                  <c:v>2134918252.26</c:v>
                </c:pt>
                <c:pt idx="5">
                  <c:v>2304689444.57</c:v>
                </c:pt>
                <c:pt idx="6">
                  <c:v>2208660717.71</c:v>
                </c:pt>
                <c:pt idx="7">
                  <c:v>2112631990.85</c:v>
                </c:pt>
                <c:pt idx="8">
                  <c:v>2016603263.99</c:v>
                </c:pt>
                <c:pt idx="9">
                  <c:v>1920574537.13</c:v>
                </c:pt>
                <c:pt idx="10">
                  <c:v>1824545810.27</c:v>
                </c:pt>
                <c:pt idx="11">
                  <c:v>1728517083.41</c:v>
                </c:pt>
                <c:pt idx="12">
                  <c:v>1632488356.55</c:v>
                </c:pt>
                <c:pt idx="13">
                  <c:v>1536459629.69</c:v>
                </c:pt>
                <c:pt idx="14">
                  <c:v>1440430902.83</c:v>
                </c:pt>
                <c:pt idx="15">
                  <c:v>1344402175.97</c:v>
                </c:pt>
                <c:pt idx="16">
                  <c:v>1248373449.11</c:v>
                </c:pt>
                <c:pt idx="17">
                  <c:v>1152344722.25</c:v>
                </c:pt>
                <c:pt idx="18">
                  <c:v>1056315995.39</c:v>
                </c:pt>
                <c:pt idx="19">
                  <c:v>960287268.53</c:v>
                </c:pt>
                <c:pt idx="20">
                  <c:v>864258541.67</c:v>
                </c:pt>
                <c:pt idx="21">
                  <c:v>768229814.81</c:v>
                </c:pt>
                <c:pt idx="22">
                  <c:v>672201087.95</c:v>
                </c:pt>
                <c:pt idx="23">
                  <c:v>576172361.09</c:v>
                </c:pt>
                <c:pt idx="24">
                  <c:v>480143634.23</c:v>
                </c:pt>
                <c:pt idx="25">
                  <c:v>384114907.37</c:v>
                </c:pt>
                <c:pt idx="26">
                  <c:v>288086180.51</c:v>
                </c:pt>
                <c:pt idx="27">
                  <c:v>192057453.65</c:v>
                </c:pt>
                <c:pt idx="28">
                  <c:v>96028726.79</c:v>
                </c:pt>
                <c:pt idx="29">
                  <c:v>-0.07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8728036"/>
        <c:axId val="70698718"/>
      </c:lineChart>
      <c:catAx>
        <c:axId val="9872803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698718"/>
        <c:crosses val="autoZero"/>
        <c:auto val="1"/>
        <c:lblAlgn val="ctr"/>
        <c:lblOffset val="100"/>
        <c:noMultiLvlLbl val="0"/>
      </c:catAx>
      <c:valAx>
        <c:axId val="7069871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;[RED]&quot;-$&quot;#,##0.00;\$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72803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del crédito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C5!$E$5:$E$36</c:f>
              <c:strCache>
                <c:ptCount val="3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</c:strCache>
            </c:strRef>
          </c:cat>
          <c:val>
            <c:numRef>
              <c:f>C5!$J$5:$J$36</c:f>
              <c:numCache>
                <c:formatCode>\$#,##0.00;[RED]"-$"#,##0.00;\$0.00</c:formatCode>
                <c:ptCount val="32"/>
                <c:pt idx="0">
                  <c:v>980000000</c:v>
                </c:pt>
                <c:pt idx="1">
                  <c:v>980000000</c:v>
                </c:pt>
                <c:pt idx="2">
                  <c:v>980000000</c:v>
                </c:pt>
                <c:pt idx="3">
                  <c:v>980000000</c:v>
                </c:pt>
                <c:pt idx="4">
                  <c:v>980000000</c:v>
                </c:pt>
                <c:pt idx="5">
                  <c:v>943703703.7</c:v>
                </c:pt>
                <c:pt idx="6">
                  <c:v>907407407.4</c:v>
                </c:pt>
                <c:pt idx="7">
                  <c:v>871111111.1</c:v>
                </c:pt>
                <c:pt idx="8">
                  <c:v>834814814.8</c:v>
                </c:pt>
                <c:pt idx="9">
                  <c:v>798518518.5</c:v>
                </c:pt>
                <c:pt idx="10">
                  <c:v>762222222.2</c:v>
                </c:pt>
                <c:pt idx="11">
                  <c:v>725925925.9</c:v>
                </c:pt>
                <c:pt idx="12">
                  <c:v>689629629.6</c:v>
                </c:pt>
                <c:pt idx="13">
                  <c:v>653333333.3</c:v>
                </c:pt>
                <c:pt idx="14">
                  <c:v>617037037</c:v>
                </c:pt>
                <c:pt idx="15">
                  <c:v>580740740.7</c:v>
                </c:pt>
                <c:pt idx="16">
                  <c:v>544444444.4</c:v>
                </c:pt>
                <c:pt idx="17">
                  <c:v>508148148.1</c:v>
                </c:pt>
                <c:pt idx="18">
                  <c:v>471851851.8</c:v>
                </c:pt>
                <c:pt idx="19">
                  <c:v>435555555.5</c:v>
                </c:pt>
                <c:pt idx="20">
                  <c:v>399259259.2</c:v>
                </c:pt>
                <c:pt idx="21">
                  <c:v>362962962.9</c:v>
                </c:pt>
                <c:pt idx="22">
                  <c:v>326666666.6</c:v>
                </c:pt>
                <c:pt idx="23">
                  <c:v>290370370.3</c:v>
                </c:pt>
                <c:pt idx="24">
                  <c:v>254074074</c:v>
                </c:pt>
                <c:pt idx="25">
                  <c:v>217777777.7</c:v>
                </c:pt>
                <c:pt idx="26">
                  <c:v>181481481.4</c:v>
                </c:pt>
                <c:pt idx="27">
                  <c:v>145185185.1</c:v>
                </c:pt>
                <c:pt idx="28">
                  <c:v>108888888.8</c:v>
                </c:pt>
                <c:pt idx="29">
                  <c:v>72592592.5</c:v>
                </c:pt>
                <c:pt idx="30">
                  <c:v>36296296.2</c:v>
                </c:pt>
                <c:pt idx="31">
                  <c:v>-0.1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3610473"/>
        <c:axId val="89367626"/>
      </c:lineChart>
      <c:catAx>
        <c:axId val="3361047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367626"/>
        <c:crosses val="autoZero"/>
        <c:auto val="1"/>
        <c:lblAlgn val="ctr"/>
        <c:lblOffset val="100"/>
        <c:noMultiLvlLbl val="0"/>
      </c:catAx>
      <c:valAx>
        <c:axId val="8936762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;[RED]&quot;-$&quot;#,##0.00;\$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61047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del crédito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C6!$E$5:$E$40</c:f>
              <c:strCach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</c:strCache>
            </c:strRef>
          </c:cat>
          <c:val>
            <c:numRef>
              <c:f>C6!$J$5:$J$40</c:f>
              <c:numCache>
                <c:formatCode>\$#,##0.00;[RED]"-$"#,##0.00;\$0.00</c:formatCode>
                <c:ptCount val="36"/>
                <c:pt idx="0">
                  <c:v>884137677.53</c:v>
                </c:pt>
                <c:pt idx="1">
                  <c:v>872390499.12</c:v>
                </c:pt>
                <c:pt idx="2">
                  <c:v>860160791.32</c:v>
                </c:pt>
                <c:pt idx="3">
                  <c:v>847428733.66</c:v>
                </c:pt>
                <c:pt idx="4">
                  <c:v>834173691.51</c:v>
                </c:pt>
                <c:pt idx="5">
                  <c:v>820374182.67</c:v>
                </c:pt>
                <c:pt idx="6">
                  <c:v>806007842.51</c:v>
                </c:pt>
                <c:pt idx="7">
                  <c:v>791051387.76</c:v>
                </c:pt>
                <c:pt idx="8">
                  <c:v>775480578.76</c:v>
                </c:pt>
                <c:pt idx="9">
                  <c:v>759270180.18</c:v>
                </c:pt>
                <c:pt idx="10">
                  <c:v>742393920.11</c:v>
                </c:pt>
                <c:pt idx="11">
                  <c:v>724824447.49</c:v>
                </c:pt>
                <c:pt idx="12">
                  <c:v>706533287.79</c:v>
                </c:pt>
                <c:pt idx="13">
                  <c:v>687490796.84</c:v>
                </c:pt>
                <c:pt idx="14">
                  <c:v>667666112.82</c:v>
                </c:pt>
                <c:pt idx="15">
                  <c:v>647027106.22</c:v>
                </c:pt>
                <c:pt idx="16">
                  <c:v>625540327.76</c:v>
                </c:pt>
                <c:pt idx="17">
                  <c:v>603170954.2</c:v>
                </c:pt>
                <c:pt idx="18">
                  <c:v>579882731.89</c:v>
                </c:pt>
                <c:pt idx="19">
                  <c:v>555637918.02</c:v>
                </c:pt>
                <c:pt idx="20">
                  <c:v>530397219.45</c:v>
                </c:pt>
                <c:pt idx="21">
                  <c:v>504119729.03</c:v>
                </c:pt>
                <c:pt idx="22">
                  <c:v>476762859.29</c:v>
                </c:pt>
                <c:pt idx="23">
                  <c:v>448282273.43</c:v>
                </c:pt>
                <c:pt idx="24">
                  <c:v>418631813.48</c:v>
                </c:pt>
                <c:pt idx="25">
                  <c:v>387763425.46</c:v>
                </c:pt>
                <c:pt idx="26">
                  <c:v>355627081.51</c:v>
                </c:pt>
                <c:pt idx="27">
                  <c:v>322170698.83</c:v>
                </c:pt>
                <c:pt idx="28">
                  <c:v>287340055.26</c:v>
                </c:pt>
                <c:pt idx="29">
                  <c:v>251078701.38</c:v>
                </c:pt>
                <c:pt idx="30">
                  <c:v>213327869.06</c:v>
                </c:pt>
                <c:pt idx="31">
                  <c:v>174026376.19</c:v>
                </c:pt>
                <c:pt idx="32">
                  <c:v>133110527.54</c:v>
                </c:pt>
                <c:pt idx="33">
                  <c:v>90514011.52</c:v>
                </c:pt>
                <c:pt idx="34">
                  <c:v>46167792.7</c:v>
                </c:pt>
                <c:pt idx="35">
                  <c:v>-0.05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8704012"/>
        <c:axId val="69350066"/>
      </c:lineChart>
      <c:catAx>
        <c:axId val="5870401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350066"/>
        <c:crosses val="autoZero"/>
        <c:auto val="1"/>
        <c:lblAlgn val="ctr"/>
        <c:lblOffset val="100"/>
        <c:noMultiLvlLbl val="0"/>
      </c:catAx>
      <c:valAx>
        <c:axId val="6935006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;[RED]&quot;-$&quot;#,##0.00;\$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70401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del crédito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C7!$E$5:$E$148</c:f>
              <c:strCache>
                <c:ptCount val="1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</c:strCache>
            </c:strRef>
          </c:cat>
          <c:val>
            <c:numRef>
              <c:f>C7!$J$5:$J$148</c:f>
              <c:numCache>
                <c:formatCode>\$#,##0.00;[RED]"-$"#,##0.00;\$0.00</c:formatCode>
                <c:ptCount val="144"/>
                <c:pt idx="0">
                  <c:v>1256904289.1</c:v>
                </c:pt>
                <c:pt idx="1">
                  <c:v>1259023251.62</c:v>
                </c:pt>
                <c:pt idx="2">
                  <c:v>1261054709.36</c:v>
                </c:pt>
                <c:pt idx="3">
                  <c:v>1262997733.35</c:v>
                </c:pt>
                <c:pt idx="4">
                  <c:v>1264851384.77</c:v>
                </c:pt>
                <c:pt idx="5">
                  <c:v>1266614714.83</c:v>
                </c:pt>
                <c:pt idx="6">
                  <c:v>1268286764.66</c:v>
                </c:pt>
                <c:pt idx="7">
                  <c:v>1269866565.22</c:v>
                </c:pt>
                <c:pt idx="8">
                  <c:v>1271353137.17</c:v>
                </c:pt>
                <c:pt idx="9">
                  <c:v>1272745490.79</c:v>
                </c:pt>
                <c:pt idx="10">
                  <c:v>1274042625.84</c:v>
                </c:pt>
                <c:pt idx="11">
                  <c:v>1275243531.47</c:v>
                </c:pt>
                <c:pt idx="12">
                  <c:v>1276347186.09</c:v>
                </c:pt>
                <c:pt idx="13">
                  <c:v>1277352557.27</c:v>
                </c:pt>
                <c:pt idx="14">
                  <c:v>1278258601.62</c:v>
                </c:pt>
                <c:pt idx="15">
                  <c:v>1279064264.67</c:v>
                </c:pt>
                <c:pt idx="16">
                  <c:v>1279768480.76</c:v>
                </c:pt>
                <c:pt idx="17">
                  <c:v>1280370172.91</c:v>
                </c:pt>
                <c:pt idx="18">
                  <c:v>1280868252.71</c:v>
                </c:pt>
                <c:pt idx="19">
                  <c:v>1281261620.2</c:v>
                </c:pt>
                <c:pt idx="20">
                  <c:v>1281549163.74</c:v>
                </c:pt>
                <c:pt idx="21">
                  <c:v>1281729759.88</c:v>
                </c:pt>
                <c:pt idx="22">
                  <c:v>1281802273.26</c:v>
                </c:pt>
                <c:pt idx="23">
                  <c:v>1281765556.45</c:v>
                </c:pt>
                <c:pt idx="24">
                  <c:v>1281618449.85</c:v>
                </c:pt>
                <c:pt idx="25">
                  <c:v>1281359781.54</c:v>
                </c:pt>
                <c:pt idx="26">
                  <c:v>1280988367.17</c:v>
                </c:pt>
                <c:pt idx="27">
                  <c:v>1280503009.81</c:v>
                </c:pt>
                <c:pt idx="28">
                  <c:v>1279902499.83</c:v>
                </c:pt>
                <c:pt idx="29">
                  <c:v>1279185614.74</c:v>
                </c:pt>
                <c:pt idx="30">
                  <c:v>1278351119.1</c:v>
                </c:pt>
                <c:pt idx="31">
                  <c:v>1277397764.33</c:v>
                </c:pt>
                <c:pt idx="32">
                  <c:v>1276324288.6</c:v>
                </c:pt>
                <c:pt idx="33">
                  <c:v>1275129416.7</c:v>
                </c:pt>
                <c:pt idx="34">
                  <c:v>1273811859.86</c:v>
                </c:pt>
                <c:pt idx="35">
                  <c:v>1272370315.64</c:v>
                </c:pt>
                <c:pt idx="36">
                  <c:v>1270803467.78</c:v>
                </c:pt>
                <c:pt idx="37">
                  <c:v>1269109986.03</c:v>
                </c:pt>
                <c:pt idx="38">
                  <c:v>1267288526.03</c:v>
                </c:pt>
                <c:pt idx="39">
                  <c:v>1265337729.14</c:v>
                </c:pt>
                <c:pt idx="40">
                  <c:v>1263256222.3</c:v>
                </c:pt>
                <c:pt idx="41">
                  <c:v>1261042617.88</c:v>
                </c:pt>
                <c:pt idx="42">
                  <c:v>1258695513.51</c:v>
                </c:pt>
                <c:pt idx="43">
                  <c:v>1256213491.93</c:v>
                </c:pt>
                <c:pt idx="44">
                  <c:v>1253595120.85</c:v>
                </c:pt>
                <c:pt idx="45">
                  <c:v>1250838952.75</c:v>
                </c:pt>
                <c:pt idx="46">
                  <c:v>1247943524.77</c:v>
                </c:pt>
                <c:pt idx="47">
                  <c:v>1244907358.5</c:v>
                </c:pt>
                <c:pt idx="48">
                  <c:v>1241728959.84</c:v>
                </c:pt>
                <c:pt idx="49">
                  <c:v>1238406818.83</c:v>
                </c:pt>
                <c:pt idx="50">
                  <c:v>1234939409.48</c:v>
                </c:pt>
                <c:pt idx="51">
                  <c:v>1231325189.6</c:v>
                </c:pt>
                <c:pt idx="52">
                  <c:v>1227562600.63</c:v>
                </c:pt>
                <c:pt idx="53">
                  <c:v>1223650067.46</c:v>
                </c:pt>
                <c:pt idx="54">
                  <c:v>1219585998.26</c:v>
                </c:pt>
                <c:pt idx="55">
                  <c:v>1215368784.3</c:v>
                </c:pt>
                <c:pt idx="56">
                  <c:v>1210996799.78</c:v>
                </c:pt>
                <c:pt idx="57">
                  <c:v>1206468401.63</c:v>
                </c:pt>
                <c:pt idx="58">
                  <c:v>1201781929.34</c:v>
                </c:pt>
                <c:pt idx="59">
                  <c:v>1196935704.77</c:v>
                </c:pt>
                <c:pt idx="60">
                  <c:v>1191928031.96</c:v>
                </c:pt>
                <c:pt idx="61">
                  <c:v>1186757196.96</c:v>
                </c:pt>
                <c:pt idx="62">
                  <c:v>1181421467.61</c:v>
                </c:pt>
                <c:pt idx="63">
                  <c:v>1175919093.37</c:v>
                </c:pt>
                <c:pt idx="64">
                  <c:v>1170248305.12</c:v>
                </c:pt>
                <c:pt idx="65">
                  <c:v>1164407314.94</c:v>
                </c:pt>
                <c:pt idx="66">
                  <c:v>1158394315.95</c:v>
                </c:pt>
                <c:pt idx="67">
                  <c:v>1152207482.08</c:v>
                </c:pt>
                <c:pt idx="68">
                  <c:v>1145844967.87</c:v>
                </c:pt>
                <c:pt idx="69">
                  <c:v>1139304908.27</c:v>
                </c:pt>
                <c:pt idx="70">
                  <c:v>1132585418.43</c:v>
                </c:pt>
                <c:pt idx="71">
                  <c:v>1125684593.5</c:v>
                </c:pt>
                <c:pt idx="72">
                  <c:v>1118600508.39</c:v>
                </c:pt>
                <c:pt idx="73">
                  <c:v>1111331217.59</c:v>
                </c:pt>
                <c:pt idx="74">
                  <c:v>1103874754.93</c:v>
                </c:pt>
                <c:pt idx="75">
                  <c:v>1096229133.36</c:v>
                </c:pt>
                <c:pt idx="76">
                  <c:v>1088392344.75</c:v>
                </c:pt>
                <c:pt idx="77">
                  <c:v>1080362359.64</c:v>
                </c:pt>
                <c:pt idx="78">
                  <c:v>1072137127.02</c:v>
                </c:pt>
                <c:pt idx="79">
                  <c:v>1063714574.12</c:v>
                </c:pt>
                <c:pt idx="80">
                  <c:v>1055092606.16</c:v>
                </c:pt>
                <c:pt idx="81">
                  <c:v>1046269106.11</c:v>
                </c:pt>
                <c:pt idx="82">
                  <c:v>1037241934.49</c:v>
                </c:pt>
                <c:pt idx="83">
                  <c:v>1028008929.08</c:v>
                </c:pt>
                <c:pt idx="84">
                  <c:v>1018567904.73</c:v>
                </c:pt>
                <c:pt idx="85">
                  <c:v>1008916653.07</c:v>
                </c:pt>
                <c:pt idx="86">
                  <c:v>999052942.3</c:v>
                </c:pt>
                <c:pt idx="87">
                  <c:v>988974516.92</c:v>
                </c:pt>
                <c:pt idx="88">
                  <c:v>978679097.5</c:v>
                </c:pt>
                <c:pt idx="89">
                  <c:v>968164380.39</c:v>
                </c:pt>
                <c:pt idx="90">
                  <c:v>957428037.49</c:v>
                </c:pt>
                <c:pt idx="91">
                  <c:v>946467715.99</c:v>
                </c:pt>
                <c:pt idx="92">
                  <c:v>935281038.1</c:v>
                </c:pt>
                <c:pt idx="93">
                  <c:v>923865600.79</c:v>
                </c:pt>
                <c:pt idx="94">
                  <c:v>912218975.52</c:v>
                </c:pt>
                <c:pt idx="95">
                  <c:v>900338707.96</c:v>
                </c:pt>
                <c:pt idx="96">
                  <c:v>888222317.73</c:v>
                </c:pt>
                <c:pt idx="97">
                  <c:v>875867298.11</c:v>
                </c:pt>
                <c:pt idx="98">
                  <c:v>863271115.78</c:v>
                </c:pt>
                <c:pt idx="99">
                  <c:v>850431210.53</c:v>
                </c:pt>
                <c:pt idx="100">
                  <c:v>837344994.95</c:v>
                </c:pt>
                <c:pt idx="101">
                  <c:v>824009854.18</c:v>
                </c:pt>
                <c:pt idx="102">
                  <c:v>810423145.59</c:v>
                </c:pt>
                <c:pt idx="103">
                  <c:v>796582198.5</c:v>
                </c:pt>
                <c:pt idx="104">
                  <c:v>782484313.87</c:v>
                </c:pt>
                <c:pt idx="105">
                  <c:v>768126764.02</c:v>
                </c:pt>
                <c:pt idx="106">
                  <c:v>753506792.31</c:v>
                </c:pt>
                <c:pt idx="107">
                  <c:v>738621612.82</c:v>
                </c:pt>
                <c:pt idx="108">
                  <c:v>723468410.07</c:v>
                </c:pt>
                <c:pt idx="109">
                  <c:v>708044338.69</c:v>
                </c:pt>
                <c:pt idx="110">
                  <c:v>692346523.1</c:v>
                </c:pt>
                <c:pt idx="111">
                  <c:v>676372057.18</c:v>
                </c:pt>
                <c:pt idx="112">
                  <c:v>660118003.98</c:v>
                </c:pt>
                <c:pt idx="113">
                  <c:v>643581395.35</c:v>
                </c:pt>
                <c:pt idx="114">
                  <c:v>626759231.65</c:v>
                </c:pt>
                <c:pt idx="115">
                  <c:v>609648481.38</c:v>
                </c:pt>
                <c:pt idx="116">
                  <c:v>592246080.86</c:v>
                </c:pt>
                <c:pt idx="117">
                  <c:v>574548933.9</c:v>
                </c:pt>
                <c:pt idx="118">
                  <c:v>556553911.42</c:v>
                </c:pt>
                <c:pt idx="119">
                  <c:v>538257851.13</c:v>
                </c:pt>
                <c:pt idx="120">
                  <c:v>519657557.16</c:v>
                </c:pt>
                <c:pt idx="121">
                  <c:v>500749799.73</c:v>
                </c:pt>
                <c:pt idx="122">
                  <c:v>481531314.76</c:v>
                </c:pt>
                <c:pt idx="123">
                  <c:v>461998803.52</c:v>
                </c:pt>
                <c:pt idx="124">
                  <c:v>442148932.27</c:v>
                </c:pt>
                <c:pt idx="125">
                  <c:v>421978331.86</c:v>
                </c:pt>
                <c:pt idx="126">
                  <c:v>401483597.38</c:v>
                </c:pt>
                <c:pt idx="127">
                  <c:v>380661287.78</c:v>
                </c:pt>
                <c:pt idx="128">
                  <c:v>359507925.47</c:v>
                </c:pt>
                <c:pt idx="129">
                  <c:v>338019995.95</c:v>
                </c:pt>
                <c:pt idx="130">
                  <c:v>316193947.41</c:v>
                </c:pt>
                <c:pt idx="131">
                  <c:v>294026190.32</c:v>
                </c:pt>
                <c:pt idx="132">
                  <c:v>271513097.05</c:v>
                </c:pt>
                <c:pt idx="133">
                  <c:v>248651001.47</c:v>
                </c:pt>
                <c:pt idx="134">
                  <c:v>225436198.51</c:v>
                </c:pt>
                <c:pt idx="135">
                  <c:v>201864943.78</c:v>
                </c:pt>
                <c:pt idx="136">
                  <c:v>177933453.14</c:v>
                </c:pt>
                <c:pt idx="137">
                  <c:v>153637902.27</c:v>
                </c:pt>
                <c:pt idx="138">
                  <c:v>128974426.25</c:v>
                </c:pt>
                <c:pt idx="139">
                  <c:v>103939119.13</c:v>
                </c:pt>
                <c:pt idx="140">
                  <c:v>78528033.5</c:v>
                </c:pt>
                <c:pt idx="141">
                  <c:v>52737180.04</c:v>
                </c:pt>
                <c:pt idx="142">
                  <c:v>26562527.08</c:v>
                </c:pt>
                <c:pt idx="143">
                  <c:v>0.15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6746021"/>
        <c:axId val="43253618"/>
      </c:lineChart>
      <c:catAx>
        <c:axId val="6674602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253618"/>
        <c:crosses val="autoZero"/>
        <c:auto val="1"/>
        <c:lblAlgn val="ctr"/>
        <c:lblOffset val="100"/>
        <c:noMultiLvlLbl val="0"/>
      </c:catAx>
      <c:valAx>
        <c:axId val="4325361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;[RED]&quot;-$&quot;#,##0.00;\$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74602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del crédito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C8!$E$5:$E$16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C8!$J$5:$J$16</c:f>
              <c:numCache>
                <c:formatCode>\$#,##0.00;[RED]"-$"#,##0.00;\$0.00</c:formatCode>
                <c:ptCount val="12"/>
                <c:pt idx="0">
                  <c:v>559498231.71</c:v>
                </c:pt>
                <c:pt idx="1">
                  <c:v>564584579.27</c:v>
                </c:pt>
                <c:pt idx="2">
                  <c:v>564019994.69</c:v>
                </c:pt>
                <c:pt idx="3">
                  <c:v>556499728.09</c:v>
                </c:pt>
                <c:pt idx="4">
                  <c:v>540500360.91</c:v>
                </c:pt>
                <c:pt idx="5">
                  <c:v>514247486.24</c:v>
                </c:pt>
                <c:pt idx="6">
                  <c:v>475678924.77</c:v>
                </c:pt>
                <c:pt idx="7">
                  <c:v>422402885.2</c:v>
                </c:pt>
                <c:pt idx="8">
                  <c:v>351650401.93</c:v>
                </c:pt>
                <c:pt idx="9">
                  <c:v>260221297.43</c:v>
                </c:pt>
                <c:pt idx="10">
                  <c:v>144422820.08</c:v>
                </c:pt>
                <c:pt idx="11">
                  <c:v>0.01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202707"/>
        <c:axId val="36591097"/>
      </c:lineChart>
      <c:catAx>
        <c:axId val="320270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591097"/>
        <c:crosses val="autoZero"/>
        <c:auto val="1"/>
        <c:lblAlgn val="ctr"/>
        <c:lblOffset val="100"/>
        <c:noMultiLvlLbl val="0"/>
      </c:catAx>
      <c:valAx>
        <c:axId val="365910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;[RED]&quot;-$&quot;#,##0.00;\$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0270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del crédito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C9!$E$5:$E$24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C9!$J$5:$J$24</c:f>
              <c:numCache>
                <c:formatCode>\$#,##0.00;[RED]"-$"#,##0.00;\$0.00</c:formatCode>
                <c:ptCount val="20"/>
                <c:pt idx="0">
                  <c:v>13152402865.75</c:v>
                </c:pt>
                <c:pt idx="1">
                  <c:v>12735174992.09</c:v>
                </c:pt>
                <c:pt idx="2">
                  <c:v>12295972849.39</c:v>
                </c:pt>
                <c:pt idx="3">
                  <c:v>11833594344.83</c:v>
                </c:pt>
                <c:pt idx="4">
                  <c:v>11346771625.63</c:v>
                </c:pt>
                <c:pt idx="5">
                  <c:v>10834167481.69</c:v>
                </c:pt>
                <c:pt idx="6">
                  <c:v>10294371551.39</c:v>
                </c:pt>
                <c:pt idx="7">
                  <c:v>9725896319.91</c:v>
                </c:pt>
                <c:pt idx="8">
                  <c:v>9127172898.58</c:v>
                </c:pt>
                <c:pt idx="9">
                  <c:v>8496546573.34</c:v>
                </c:pt>
                <c:pt idx="10">
                  <c:v>7832272109.74</c:v>
                </c:pt>
                <c:pt idx="11">
                  <c:v>7132508801.03</c:v>
                </c:pt>
                <c:pt idx="12">
                  <c:v>6395315245.4</c:v>
                </c:pt>
                <c:pt idx="13">
                  <c:v>5618643837.51</c:v>
                </c:pt>
                <c:pt idx="14">
                  <c:v>4800334958.64</c:v>
                </c:pt>
                <c:pt idx="15">
                  <c:v>3938110849.09</c:v>
                </c:pt>
                <c:pt idx="16">
                  <c:v>3029569145.29</c:v>
                </c:pt>
                <c:pt idx="17">
                  <c:v>2072176063.43</c:v>
                </c:pt>
                <c:pt idx="18">
                  <c:v>1063259210.16</c:v>
                </c:pt>
                <c:pt idx="19">
                  <c:v>0.01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5997280"/>
        <c:axId val="28636871"/>
      </c:lineChart>
      <c:catAx>
        <c:axId val="5599728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636871"/>
        <c:crosses val="autoZero"/>
        <c:auto val="1"/>
        <c:lblAlgn val="ctr"/>
        <c:lblOffset val="100"/>
        <c:noMultiLvlLbl val="0"/>
      </c:catAx>
      <c:valAx>
        <c:axId val="286368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;[RED]&quot;-$&quot;#,##0.00;\$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99728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6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7.xml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chart" Target="../charts/chart8.xml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chart" Target="../charts/chart9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25</xdr:row>
      <xdr:rowOff>63360</xdr:rowOff>
    </xdr:from>
    <xdr:to>
      <xdr:col>2</xdr:col>
      <xdr:colOff>450360</xdr:colOff>
      <xdr:row>38</xdr:row>
      <xdr:rowOff>106560</xdr:rowOff>
    </xdr:to>
    <xdr:graphicFrame>
      <xdr:nvGraphicFramePr>
        <xdr:cNvPr id="0" name="Chart 1"/>
        <xdr:cNvGraphicFramePr/>
      </xdr:nvGraphicFramePr>
      <xdr:xfrm>
        <a:off x="0" y="495288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63720</xdr:rowOff>
    </xdr:from>
    <xdr:to>
      <xdr:col>2</xdr:col>
      <xdr:colOff>450360</xdr:colOff>
      <xdr:row>41</xdr:row>
      <xdr:rowOff>106560</xdr:rowOff>
    </xdr:to>
    <xdr:graphicFrame>
      <xdr:nvGraphicFramePr>
        <xdr:cNvPr id="1" name="Chart 1"/>
        <xdr:cNvGraphicFramePr/>
      </xdr:nvGraphicFramePr>
      <xdr:xfrm>
        <a:off x="0" y="552456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27</xdr:row>
      <xdr:rowOff>63720</xdr:rowOff>
    </xdr:from>
    <xdr:to>
      <xdr:col>2</xdr:col>
      <xdr:colOff>450360</xdr:colOff>
      <xdr:row>40</xdr:row>
      <xdr:rowOff>106920</xdr:rowOff>
    </xdr:to>
    <xdr:graphicFrame>
      <xdr:nvGraphicFramePr>
        <xdr:cNvPr id="2" name="Chart 1"/>
        <xdr:cNvGraphicFramePr/>
      </xdr:nvGraphicFramePr>
      <xdr:xfrm>
        <a:off x="0" y="533412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27</xdr:row>
      <xdr:rowOff>63720</xdr:rowOff>
    </xdr:from>
    <xdr:to>
      <xdr:col>2</xdr:col>
      <xdr:colOff>450360</xdr:colOff>
      <xdr:row>40</xdr:row>
      <xdr:rowOff>106920</xdr:rowOff>
    </xdr:to>
    <xdr:graphicFrame>
      <xdr:nvGraphicFramePr>
        <xdr:cNvPr id="3" name="Chart 1"/>
        <xdr:cNvGraphicFramePr/>
      </xdr:nvGraphicFramePr>
      <xdr:xfrm>
        <a:off x="0" y="533412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25</xdr:row>
      <xdr:rowOff>63360</xdr:rowOff>
    </xdr:from>
    <xdr:to>
      <xdr:col>2</xdr:col>
      <xdr:colOff>450360</xdr:colOff>
      <xdr:row>38</xdr:row>
      <xdr:rowOff>106560</xdr:rowOff>
    </xdr:to>
    <xdr:graphicFrame>
      <xdr:nvGraphicFramePr>
        <xdr:cNvPr id="4" name="Chart 1"/>
        <xdr:cNvGraphicFramePr/>
      </xdr:nvGraphicFramePr>
      <xdr:xfrm>
        <a:off x="0" y="495288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63360</xdr:rowOff>
    </xdr:from>
    <xdr:to>
      <xdr:col>2</xdr:col>
      <xdr:colOff>450360</xdr:colOff>
      <xdr:row>36</xdr:row>
      <xdr:rowOff>106560</xdr:rowOff>
    </xdr:to>
    <xdr:graphicFrame>
      <xdr:nvGraphicFramePr>
        <xdr:cNvPr id="5" name="Chart 1"/>
        <xdr:cNvGraphicFramePr/>
      </xdr:nvGraphicFramePr>
      <xdr:xfrm>
        <a:off x="0" y="457200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63720</xdr:rowOff>
    </xdr:from>
    <xdr:to>
      <xdr:col>2</xdr:col>
      <xdr:colOff>450360</xdr:colOff>
      <xdr:row>41</xdr:row>
      <xdr:rowOff>106560</xdr:rowOff>
    </xdr:to>
    <xdr:graphicFrame>
      <xdr:nvGraphicFramePr>
        <xdr:cNvPr id="6" name="Chart 1"/>
        <xdr:cNvGraphicFramePr/>
      </xdr:nvGraphicFramePr>
      <xdr:xfrm>
        <a:off x="0" y="552456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25</xdr:row>
      <xdr:rowOff>63360</xdr:rowOff>
    </xdr:from>
    <xdr:to>
      <xdr:col>2</xdr:col>
      <xdr:colOff>450360</xdr:colOff>
      <xdr:row>38</xdr:row>
      <xdr:rowOff>106560</xdr:rowOff>
    </xdr:to>
    <xdr:graphicFrame>
      <xdr:nvGraphicFramePr>
        <xdr:cNvPr id="7" name="Chart 1"/>
        <xdr:cNvGraphicFramePr/>
      </xdr:nvGraphicFramePr>
      <xdr:xfrm>
        <a:off x="0" y="495288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27</xdr:row>
      <xdr:rowOff>63720</xdr:rowOff>
    </xdr:from>
    <xdr:to>
      <xdr:col>2</xdr:col>
      <xdr:colOff>450360</xdr:colOff>
      <xdr:row>40</xdr:row>
      <xdr:rowOff>106920</xdr:rowOff>
    </xdr:to>
    <xdr:graphicFrame>
      <xdr:nvGraphicFramePr>
        <xdr:cNvPr id="8" name="Chart 1"/>
        <xdr:cNvGraphicFramePr/>
      </xdr:nvGraphicFramePr>
      <xdr:xfrm>
        <a:off x="0" y="533412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Amortizacion_Nueve_Creditos_Ajustado.xlsx" TargetMode="External"/><Relationship Id="rId2" Type="http://schemas.openxmlformats.org/officeDocument/2006/relationships/hyperlink" Target="Amortizacion_Nueve_Creditos_Ajustado.xlsx" TargetMode="External"/><Relationship Id="rId3" Type="http://schemas.openxmlformats.org/officeDocument/2006/relationships/hyperlink" Target="Amortizacion_Nueve_Creditos_Ajustado.xlsx" TargetMode="External"/><Relationship Id="rId4" Type="http://schemas.openxmlformats.org/officeDocument/2006/relationships/hyperlink" Target="Amortizacion_Nueve_Creditos_Ajustado.xlsx" TargetMode="External"/><Relationship Id="rId5" Type="http://schemas.openxmlformats.org/officeDocument/2006/relationships/hyperlink" Target="Amortizacion_Nueve_Creditos_Ajustado.xlsx" TargetMode="External"/><Relationship Id="rId6" Type="http://schemas.openxmlformats.org/officeDocument/2006/relationships/hyperlink" Target="Amortizacion_Nueve_Creditos_Ajustado.xlsx" TargetMode="External"/><Relationship Id="rId7" Type="http://schemas.openxmlformats.org/officeDocument/2006/relationships/hyperlink" Target="Amortizacion_Nueve_Creditos_Ajustado.xlsx" TargetMode="External"/><Relationship Id="rId8" Type="http://schemas.openxmlformats.org/officeDocument/2006/relationships/hyperlink" Target="Amortizacion_Nueve_Creditos_Ajustado.xlsx" TargetMode="External"/><Relationship Id="rId9" Type="http://schemas.openxmlformats.org/officeDocument/2006/relationships/hyperlink" Target="Amortizacion_Nueve_Creditos_Ajustado.xlsx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H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34"/>
    <col collapsed="false" customWidth="true" hidden="false" outlineLevel="0" max="8" min="8" style="0" width="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15" hidden="false" customHeight="fals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customFormat="false" ht="15" hidden="false" customHeight="false" outlineLevel="0" collapsed="false">
      <c r="A6" s="4" t="n">
        <v>1</v>
      </c>
      <c r="B6" s="4" t="s">
        <v>11</v>
      </c>
      <c r="C6" s="5" t="n">
        <v>65894756</v>
      </c>
      <c r="D6" s="4" t="s">
        <v>12</v>
      </c>
      <c r="E6" s="4" t="s">
        <v>13</v>
      </c>
      <c r="F6" s="4" t="s">
        <v>14</v>
      </c>
      <c r="G6" s="4" t="s">
        <v>15</v>
      </c>
      <c r="H6" s="6" t="s">
        <v>16</v>
      </c>
    </row>
    <row r="7" customFormat="false" ht="15" hidden="false" customHeight="false" outlineLevel="0" collapsed="false">
      <c r="A7" s="4" t="n">
        <v>2</v>
      </c>
      <c r="B7" s="4" t="s">
        <v>17</v>
      </c>
      <c r="C7" s="5" t="n">
        <v>951963241</v>
      </c>
      <c r="D7" s="4" t="s">
        <v>18</v>
      </c>
      <c r="E7" s="4" t="s">
        <v>19</v>
      </c>
      <c r="F7" s="4" t="s">
        <v>20</v>
      </c>
      <c r="G7" s="4" t="s">
        <v>21</v>
      </c>
      <c r="H7" s="6" t="s">
        <v>22</v>
      </c>
    </row>
    <row r="8" customFormat="false" ht="15" hidden="false" customHeight="false" outlineLevel="0" collapsed="false">
      <c r="A8" s="4" t="n">
        <v>3</v>
      </c>
      <c r="B8" s="4" t="s">
        <v>23</v>
      </c>
      <c r="C8" s="5" t="n">
        <v>654321789</v>
      </c>
      <c r="D8" s="4" t="s">
        <v>24</v>
      </c>
      <c r="E8" s="4" t="s">
        <v>25</v>
      </c>
      <c r="F8" s="4" t="s">
        <v>26</v>
      </c>
      <c r="G8" s="4" t="s">
        <v>27</v>
      </c>
      <c r="H8" s="6" t="s">
        <v>28</v>
      </c>
    </row>
    <row r="9" customFormat="false" ht="23.85" hidden="false" customHeight="false" outlineLevel="0" collapsed="false">
      <c r="A9" s="4" t="n">
        <v>4</v>
      </c>
      <c r="B9" s="4" t="s">
        <v>29</v>
      </c>
      <c r="C9" s="5" t="n">
        <v>1456214789</v>
      </c>
      <c r="D9" s="4" t="s">
        <v>30</v>
      </c>
      <c r="E9" s="4" t="s">
        <v>31</v>
      </c>
      <c r="F9" s="4" t="s">
        <v>32</v>
      </c>
      <c r="G9" s="4" t="s">
        <v>33</v>
      </c>
      <c r="H9" s="6" t="s">
        <v>34</v>
      </c>
    </row>
    <row r="10" customFormat="false" ht="23.85" hidden="false" customHeight="false" outlineLevel="0" collapsed="false">
      <c r="A10" s="4" t="n">
        <v>5</v>
      </c>
      <c r="B10" s="4" t="s">
        <v>35</v>
      </c>
      <c r="C10" s="5" t="n">
        <v>980000000</v>
      </c>
      <c r="D10" s="4" t="s">
        <v>36</v>
      </c>
      <c r="E10" s="4" t="s">
        <v>37</v>
      </c>
      <c r="F10" s="4" t="s">
        <v>38</v>
      </c>
      <c r="G10" s="4" t="s">
        <v>39</v>
      </c>
      <c r="H10" s="6" t="s">
        <v>40</v>
      </c>
    </row>
    <row r="11" customFormat="false" ht="15" hidden="false" customHeight="false" outlineLevel="0" collapsed="false">
      <c r="A11" s="4" t="n">
        <v>6</v>
      </c>
      <c r="B11" s="4" t="s">
        <v>41</v>
      </c>
      <c r="C11" s="5" t="n">
        <v>895421365</v>
      </c>
      <c r="D11" s="4" t="s">
        <v>42</v>
      </c>
      <c r="E11" s="4" t="s">
        <v>43</v>
      </c>
      <c r="F11" s="4" t="s">
        <v>38</v>
      </c>
      <c r="G11" s="4" t="s">
        <v>15</v>
      </c>
      <c r="H11" s="6" t="s">
        <v>44</v>
      </c>
    </row>
    <row r="12" customFormat="false" ht="15" hidden="false" customHeight="false" outlineLevel="0" collapsed="false">
      <c r="A12" s="4" t="n">
        <v>7</v>
      </c>
      <c r="B12" s="4" t="s">
        <v>45</v>
      </c>
      <c r="C12" s="5" t="n">
        <v>1254698741</v>
      </c>
      <c r="D12" s="4" t="s">
        <v>46</v>
      </c>
      <c r="E12" s="4" t="s">
        <v>47</v>
      </c>
      <c r="F12" s="4" t="s">
        <v>48</v>
      </c>
      <c r="G12" s="4" t="s">
        <v>49</v>
      </c>
      <c r="H12" s="6" t="s">
        <v>50</v>
      </c>
    </row>
    <row r="13" customFormat="false" ht="23.85" hidden="false" customHeight="false" outlineLevel="0" collapsed="false">
      <c r="A13" s="4" t="n">
        <v>8</v>
      </c>
      <c r="B13" s="4" t="s">
        <v>51</v>
      </c>
      <c r="C13" s="5" t="n">
        <v>549875412</v>
      </c>
      <c r="D13" s="4" t="s">
        <v>52</v>
      </c>
      <c r="E13" s="4" t="s">
        <v>47</v>
      </c>
      <c r="F13" s="4" t="s">
        <v>53</v>
      </c>
      <c r="G13" s="4" t="s">
        <v>54</v>
      </c>
      <c r="H13" s="6" t="s">
        <v>55</v>
      </c>
    </row>
    <row r="14" customFormat="false" ht="23.85" hidden="false" customHeight="false" outlineLevel="0" collapsed="false">
      <c r="A14" s="4" t="n">
        <v>9</v>
      </c>
      <c r="B14" s="4" t="s">
        <v>56</v>
      </c>
      <c r="C14" s="5" t="n">
        <v>13548796214</v>
      </c>
      <c r="D14" s="4" t="s">
        <v>57</v>
      </c>
      <c r="E14" s="4" t="s">
        <v>58</v>
      </c>
      <c r="F14" s="4" t="s">
        <v>38</v>
      </c>
      <c r="G14" s="4" t="s">
        <v>59</v>
      </c>
      <c r="H14" s="6" t="s">
        <v>60</v>
      </c>
    </row>
    <row r="17" customFormat="false" ht="15" hidden="false" customHeight="false" outlineLevel="0" collapsed="false">
      <c r="A17" s="7" t="s">
        <v>61</v>
      </c>
    </row>
    <row r="18" customFormat="false" ht="15" hidden="false" customHeight="false" outlineLevel="0" collapsed="false">
      <c r="A18" s="8" t="s">
        <v>62</v>
      </c>
      <c r="B18" s="9" t="s">
        <v>63</v>
      </c>
      <c r="C18" s="9"/>
      <c r="D18" s="9"/>
      <c r="E18" s="9"/>
      <c r="F18" s="9"/>
    </row>
    <row r="19" customFormat="false" ht="15" hidden="false" customHeight="false" outlineLevel="0" collapsed="false">
      <c r="A19" s="8" t="s">
        <v>64</v>
      </c>
      <c r="B19" s="9" t="s">
        <v>65</v>
      </c>
      <c r="C19" s="9"/>
      <c r="D19" s="9"/>
      <c r="E19" s="9"/>
      <c r="F19" s="9"/>
    </row>
    <row r="20" customFormat="false" ht="15" hidden="false" customHeight="false" outlineLevel="0" collapsed="false">
      <c r="A20" s="8" t="s">
        <v>66</v>
      </c>
      <c r="B20" s="9" t="s">
        <v>67</v>
      </c>
      <c r="C20" s="9"/>
      <c r="D20" s="9"/>
      <c r="E20" s="9"/>
      <c r="F20" s="9"/>
    </row>
    <row r="21" customFormat="false" ht="15" hidden="false" customHeight="false" outlineLevel="0" collapsed="false">
      <c r="A21" s="8" t="s">
        <v>68</v>
      </c>
      <c r="B21" s="9" t="s">
        <v>69</v>
      </c>
      <c r="C21" s="9"/>
      <c r="D21" s="9"/>
      <c r="E21" s="9"/>
      <c r="F21" s="9"/>
    </row>
    <row r="22" customFormat="false" ht="15" hidden="false" customHeight="false" outlineLevel="0" collapsed="false">
      <c r="A22" s="8" t="s">
        <v>70</v>
      </c>
      <c r="B22" s="9" t="s">
        <v>71</v>
      </c>
      <c r="C22" s="9"/>
      <c r="D22" s="9"/>
      <c r="E22" s="9"/>
      <c r="F22" s="9"/>
    </row>
    <row r="23" customFormat="false" ht="15" hidden="false" customHeight="false" outlineLevel="0" collapsed="false">
      <c r="A23" s="8" t="s">
        <v>72</v>
      </c>
      <c r="B23" s="9" t="s">
        <v>73</v>
      </c>
      <c r="C23" s="9"/>
      <c r="D23" s="9"/>
      <c r="E23" s="9"/>
      <c r="F23" s="9"/>
    </row>
    <row r="24" customFormat="false" ht="15" hidden="false" customHeight="false" outlineLevel="0" collapsed="false">
      <c r="A24" s="8" t="s">
        <v>74</v>
      </c>
      <c r="B24" s="9" t="s">
        <v>75</v>
      </c>
      <c r="C24" s="9"/>
      <c r="D24" s="9"/>
      <c r="E24" s="9"/>
      <c r="F24" s="9"/>
    </row>
    <row r="25" customFormat="false" ht="15" hidden="false" customHeight="false" outlineLevel="0" collapsed="false">
      <c r="A25" s="8" t="s">
        <v>76</v>
      </c>
      <c r="B25" s="9" t="s">
        <v>77</v>
      </c>
      <c r="C25" s="9"/>
      <c r="D25" s="9"/>
      <c r="E25" s="9"/>
      <c r="F25" s="9"/>
    </row>
    <row r="26" customFormat="false" ht="15" hidden="false" customHeight="false" outlineLevel="0" collapsed="false">
      <c r="A26" s="8" t="s">
        <v>78</v>
      </c>
      <c r="B26" s="9" t="s">
        <v>79</v>
      </c>
      <c r="C26" s="9"/>
      <c r="D26" s="9"/>
      <c r="E26" s="9"/>
      <c r="F26" s="9"/>
    </row>
  </sheetData>
  <mergeCells count="9"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</mergeCells>
  <hyperlinks>
    <hyperlink ref="H6" r:id="rId1" location="'C1'!A1" display="C1"/>
    <hyperlink ref="H7" r:id="rId2" location="'C2'!A1" display="C2"/>
    <hyperlink ref="H8" r:id="rId3" location="'C3'!A1" display="C3"/>
    <hyperlink ref="H9" r:id="rId4" location="'C4'!A1" display="C4"/>
    <hyperlink ref="H10" r:id="rId5" location="'C5'!A1" display="C5"/>
    <hyperlink ref="H11" r:id="rId6" location="'C6'!A1" display="C6"/>
    <hyperlink ref="H12" r:id="rId7" location="'C7'!A1" display="C7"/>
    <hyperlink ref="H13" r:id="rId8" location="'C8'!A1" display="C8"/>
    <hyperlink ref="H14" r:id="rId9" location="'C9'!A1" display="C9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6"/>
    <col collapsed="false" customWidth="true" hidden="false" outlineLevel="0" max="3" min="3" style="0" width="60"/>
    <col collapsed="false" customWidth="true" hidden="false" outlineLevel="0" max="4" min="4" style="0" width="46"/>
  </cols>
  <sheetData>
    <row r="1" customFormat="false" ht="17.35" hidden="false" customHeight="false" outlineLevel="0" collapsed="false">
      <c r="A1" s="1" t="s">
        <v>80</v>
      </c>
    </row>
    <row r="2" customFormat="false" ht="15" hidden="false" customHeight="false" outlineLevel="0" collapsed="false">
      <c r="A2" s="2" t="s">
        <v>81</v>
      </c>
    </row>
    <row r="4" customFormat="false" ht="15" hidden="false" customHeight="false" outlineLevel="0" collapsed="false">
      <c r="A4" s="3" t="s">
        <v>4</v>
      </c>
      <c r="B4" s="3" t="s">
        <v>82</v>
      </c>
      <c r="C4" s="3" t="s">
        <v>83</v>
      </c>
      <c r="D4" s="3" t="s">
        <v>84</v>
      </c>
    </row>
    <row r="5" customFormat="false" ht="61.5" hidden="false" customHeight="true" outlineLevel="0" collapsed="false">
      <c r="A5" s="4" t="s">
        <v>85</v>
      </c>
      <c r="B5" s="4" t="s">
        <v>86</v>
      </c>
      <c r="C5" s="4" t="s">
        <v>87</v>
      </c>
      <c r="D5" s="4" t="s">
        <v>88</v>
      </c>
    </row>
    <row r="6" customFormat="false" ht="61.5" hidden="false" customHeight="true" outlineLevel="0" collapsed="false">
      <c r="A6" s="4" t="s">
        <v>89</v>
      </c>
      <c r="B6" s="4" t="s">
        <v>90</v>
      </c>
      <c r="C6" s="4" t="s">
        <v>91</v>
      </c>
      <c r="D6" s="4" t="s">
        <v>92</v>
      </c>
    </row>
    <row r="7" customFormat="false" ht="61.5" hidden="false" customHeight="true" outlineLevel="0" collapsed="false">
      <c r="A7" s="4" t="s">
        <v>93</v>
      </c>
      <c r="B7" s="4" t="s">
        <v>94</v>
      </c>
      <c r="C7" s="4" t="s">
        <v>95</v>
      </c>
      <c r="D7" s="4" t="s">
        <v>96</v>
      </c>
    </row>
    <row r="8" customFormat="false" ht="61.5" hidden="false" customHeight="true" outlineLevel="0" collapsed="false">
      <c r="A8" s="4" t="s">
        <v>97</v>
      </c>
      <c r="B8" s="4" t="s">
        <v>98</v>
      </c>
      <c r="C8" s="4" t="s">
        <v>99</v>
      </c>
      <c r="D8" s="4" t="s">
        <v>100</v>
      </c>
    </row>
    <row r="9" customFormat="false" ht="61.5" hidden="false" customHeight="true" outlineLevel="0" collapsed="false">
      <c r="A9" s="4" t="s">
        <v>101</v>
      </c>
      <c r="B9" s="4" t="s">
        <v>102</v>
      </c>
      <c r="C9" s="4" t="s">
        <v>103</v>
      </c>
      <c r="D9" s="4" t="s">
        <v>104</v>
      </c>
    </row>
    <row r="10" customFormat="false" ht="61.5" hidden="false" customHeight="true" outlineLevel="0" collapsed="false">
      <c r="A10" s="4" t="s">
        <v>105</v>
      </c>
      <c r="B10" s="4" t="s">
        <v>106</v>
      </c>
      <c r="C10" s="4" t="s">
        <v>107</v>
      </c>
      <c r="D10" s="4" t="s">
        <v>108</v>
      </c>
    </row>
    <row r="11" customFormat="false" ht="61.5" hidden="false" customHeight="true" outlineLevel="0" collapsed="false">
      <c r="A11" s="4" t="s">
        <v>109</v>
      </c>
      <c r="B11" s="4" t="s">
        <v>110</v>
      </c>
      <c r="C11" s="4" t="s">
        <v>111</v>
      </c>
      <c r="D11" s="4" t="s">
        <v>112</v>
      </c>
    </row>
    <row r="12" customFormat="false" ht="61.5" hidden="false" customHeight="true" outlineLevel="0" collapsed="false">
      <c r="A12" s="4" t="s">
        <v>113</v>
      </c>
      <c r="B12" s="4" t="s">
        <v>114</v>
      </c>
      <c r="C12" s="4" t="s">
        <v>115</v>
      </c>
      <c r="D12" s="4" t="s">
        <v>116</v>
      </c>
    </row>
    <row r="13" customFormat="false" ht="61.5" hidden="false" customHeight="true" outlineLevel="0" collapsed="false">
      <c r="A13" s="4" t="s">
        <v>117</v>
      </c>
      <c r="B13" s="4" t="s">
        <v>118</v>
      </c>
      <c r="C13" s="4" t="s">
        <v>119</v>
      </c>
      <c r="D13" s="4" t="s">
        <v>120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J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7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10" min="9" style="0" width="18"/>
  </cols>
  <sheetData>
    <row r="1" customFormat="false" ht="16.15" hidden="false" customHeight="false" outlineLevel="0" collapsed="false">
      <c r="A1" s="10" t="s">
        <v>121</v>
      </c>
    </row>
    <row r="2" customFormat="false" ht="15" hidden="false" customHeight="false" outlineLevel="0" collapsed="false">
      <c r="A2" s="2" t="s">
        <v>122</v>
      </c>
    </row>
    <row r="4" customFormat="false" ht="23.85" hidden="false" customHeight="false" outlineLevel="0" collapsed="false">
      <c r="A4" s="7" t="s">
        <v>123</v>
      </c>
      <c r="E4" s="3" t="s">
        <v>124</v>
      </c>
      <c r="F4" s="3" t="s">
        <v>125</v>
      </c>
      <c r="G4" s="3" t="s">
        <v>126</v>
      </c>
      <c r="H4" s="3" t="s">
        <v>127</v>
      </c>
      <c r="I4" s="3" t="s">
        <v>128</v>
      </c>
      <c r="J4" s="3" t="s">
        <v>129</v>
      </c>
    </row>
    <row r="5" customFormat="false" ht="15" hidden="false" customHeight="false" outlineLevel="0" collapsed="false">
      <c r="A5" s="11" t="s">
        <v>130</v>
      </c>
      <c r="B5" s="12" t="n">
        <v>65894756</v>
      </c>
      <c r="E5" s="13" t="n">
        <v>1</v>
      </c>
      <c r="F5" s="14" t="n">
        <f aca="false">$B$5</f>
        <v>65894756</v>
      </c>
      <c r="G5" s="14" t="n">
        <f aca="false">F5*$B$12</f>
        <v>859681.052697238</v>
      </c>
      <c r="H5" s="14" t="n">
        <f aca="false">I5-G5</f>
        <v>3730235.55173202</v>
      </c>
      <c r="I5" s="14" t="n">
        <f aca="false">$B$16</f>
        <v>4589916.60442925</v>
      </c>
      <c r="J5" s="14" t="n">
        <f aca="false">ROUND(F5-H5,2)</f>
        <v>62164520.45</v>
      </c>
    </row>
    <row r="6" customFormat="false" ht="15" hidden="false" customHeight="false" outlineLevel="0" collapsed="false">
      <c r="A6" s="11" t="s">
        <v>131</v>
      </c>
      <c r="B6" s="15" t="n">
        <v>0.0985</v>
      </c>
      <c r="C6" s="16" t="s">
        <v>132</v>
      </c>
      <c r="E6" s="13" t="n">
        <v>2</v>
      </c>
      <c r="F6" s="14" t="n">
        <f aca="false">J5</f>
        <v>62164520.45</v>
      </c>
      <c r="G6" s="14" t="n">
        <f aca="false">F6*$B$12</f>
        <v>811015.377018392</v>
      </c>
      <c r="H6" s="14" t="n">
        <f aca="false">I6-G6</f>
        <v>3778901.22741086</v>
      </c>
      <c r="I6" s="14" t="n">
        <f aca="false">$B$16</f>
        <v>4589916.60442925</v>
      </c>
      <c r="J6" s="14" t="n">
        <f aca="false">ROUND(F6-H6,2)</f>
        <v>58385619.22</v>
      </c>
    </row>
    <row r="7" customFormat="false" ht="15" hidden="false" customHeight="false" outlineLevel="0" collapsed="false">
      <c r="A7" s="11" t="s">
        <v>133</v>
      </c>
      <c r="B7" s="17" t="n">
        <v>45</v>
      </c>
      <c r="C7" s="16" t="s">
        <v>134</v>
      </c>
      <c r="E7" s="13" t="n">
        <v>3</v>
      </c>
      <c r="F7" s="14" t="n">
        <f aca="false">J6</f>
        <v>58385619.22</v>
      </c>
      <c r="G7" s="14" t="n">
        <f aca="false">F7*$B$12</f>
        <v>761714.795535925</v>
      </c>
      <c r="H7" s="14" t="n">
        <f aca="false">I7-G7</f>
        <v>3828201.80889333</v>
      </c>
      <c r="I7" s="14" t="n">
        <f aca="false">$B$16</f>
        <v>4589916.60442925</v>
      </c>
      <c r="J7" s="14" t="n">
        <f aca="false">ROUND(F7-H7,2)</f>
        <v>54557417.41</v>
      </c>
    </row>
    <row r="8" customFormat="false" ht="15" hidden="false" customHeight="false" outlineLevel="0" collapsed="false">
      <c r="A8" s="11" t="s">
        <v>135</v>
      </c>
      <c r="B8" s="17" t="n">
        <v>24</v>
      </c>
      <c r="E8" s="13" t="n">
        <v>4</v>
      </c>
      <c r="F8" s="14" t="n">
        <f aca="false">J7</f>
        <v>54557417.41</v>
      </c>
      <c r="G8" s="14" t="n">
        <f aca="false">F8*$B$12</f>
        <v>711771.02517037</v>
      </c>
      <c r="H8" s="14" t="n">
        <f aca="false">I8-G8</f>
        <v>3878145.57925888</v>
      </c>
      <c r="I8" s="14" t="n">
        <f aca="false">$B$16</f>
        <v>4589916.60442925</v>
      </c>
      <c r="J8" s="14" t="n">
        <f aca="false">ROUND(F8-H8,2)</f>
        <v>50679271.83</v>
      </c>
    </row>
    <row r="9" customFormat="false" ht="15" hidden="false" customHeight="false" outlineLevel="0" collapsed="false">
      <c r="E9" s="13" t="n">
        <v>5</v>
      </c>
      <c r="F9" s="14" t="n">
        <f aca="false">J8</f>
        <v>50679271.83</v>
      </c>
      <c r="G9" s="14" t="n">
        <f aca="false">F9*$B$12</f>
        <v>661175.674688649</v>
      </c>
      <c r="H9" s="14" t="n">
        <f aca="false">I9-G9</f>
        <v>3928740.92974061</v>
      </c>
      <c r="I9" s="14" t="n">
        <f aca="false">$B$16</f>
        <v>4589916.60442925</v>
      </c>
      <c r="J9" s="14" t="n">
        <f aca="false">ROUND(F9-H9,2)</f>
        <v>46750530.9</v>
      </c>
    </row>
    <row r="10" customFormat="false" ht="15" hidden="false" customHeight="false" outlineLevel="0" collapsed="false">
      <c r="A10" s="7" t="s">
        <v>136</v>
      </c>
      <c r="E10" s="13" t="n">
        <v>6</v>
      </c>
      <c r="F10" s="14" t="n">
        <f aca="false">J9</f>
        <v>46750530.9</v>
      </c>
      <c r="G10" s="14" t="n">
        <f aca="false">F10*$B$12</f>
        <v>609920.243399441</v>
      </c>
      <c r="H10" s="14" t="n">
        <f aca="false">I10-G10</f>
        <v>3979996.36102981</v>
      </c>
      <c r="I10" s="14" t="n">
        <f aca="false">$B$16</f>
        <v>4589916.60442925</v>
      </c>
      <c r="J10" s="14" t="n">
        <f aca="false">ROUND(F10-H10,2)</f>
        <v>42770534.54</v>
      </c>
    </row>
    <row r="11" customFormat="false" ht="15" hidden="false" customHeight="false" outlineLevel="0" collapsed="false">
      <c r="A11" s="11" t="s">
        <v>137</v>
      </c>
      <c r="B11" s="18" t="n">
        <f aca="false">$B$6/(1-$B$6)</f>
        <v>0.109262340543539</v>
      </c>
      <c r="C11" s="16" t="s">
        <v>138</v>
      </c>
      <c r="E11" s="13" t="n">
        <v>7</v>
      </c>
      <c r="F11" s="14" t="n">
        <f aca="false">J10</f>
        <v>42770534.54</v>
      </c>
      <c r="G11" s="14" t="n">
        <f aca="false">F11*$B$12</f>
        <v>557996.119718097</v>
      </c>
      <c r="H11" s="14" t="n">
        <f aca="false">I11-G11</f>
        <v>4031920.48471116</v>
      </c>
      <c r="I11" s="14" t="n">
        <f aca="false">$B$16</f>
        <v>4589916.60442925</v>
      </c>
      <c r="J11" s="14" t="n">
        <f aca="false">ROUND(F11-H11,2)</f>
        <v>38738614.06</v>
      </c>
    </row>
    <row r="12" customFormat="false" ht="15" hidden="false" customHeight="false" outlineLevel="0" collapsed="false">
      <c r="A12" s="11" t="s">
        <v>139</v>
      </c>
      <c r="B12" s="19" t="n">
        <f aca="false">(1+$B$11)^($B$7/360)-1</f>
        <v>0.0130462741632618</v>
      </c>
      <c r="C12" s="16" t="s">
        <v>140</v>
      </c>
      <c r="E12" s="13" t="n">
        <v>8</v>
      </c>
      <c r="F12" s="14" t="n">
        <f aca="false">J11</f>
        <v>38738614.06</v>
      </c>
      <c r="G12" s="14" t="n">
        <f aca="false">F12*$B$12</f>
        <v>505394.579731547</v>
      </c>
      <c r="H12" s="14" t="n">
        <f aca="false">I12-G12</f>
        <v>4084522.02469771</v>
      </c>
      <c r="I12" s="14" t="n">
        <f aca="false">$B$16</f>
        <v>4589916.60442925</v>
      </c>
      <c r="J12" s="14" t="n">
        <f aca="false">ROUND(F12-H12,2)</f>
        <v>34654092.04</v>
      </c>
    </row>
    <row r="13" customFormat="false" ht="15" hidden="false" customHeight="false" outlineLevel="0" collapsed="false">
      <c r="A13" s="11" t="s">
        <v>141</v>
      </c>
      <c r="B13" s="20" t="n">
        <f aca="false">$B$8*30/$B$7</f>
        <v>16</v>
      </c>
      <c r="E13" s="13" t="n">
        <v>9</v>
      </c>
      <c r="F13" s="14" t="n">
        <f aca="false">J12</f>
        <v>34654092.04</v>
      </c>
      <c r="G13" s="14" t="n">
        <f aca="false">F13*$B$12</f>
        <v>452106.785632747</v>
      </c>
      <c r="H13" s="14" t="n">
        <f aca="false">I13-G13</f>
        <v>4137809.81879651</v>
      </c>
      <c r="I13" s="14" t="n">
        <f aca="false">$B$16</f>
        <v>4589916.60442925</v>
      </c>
      <c r="J13" s="14" t="n">
        <f aca="false">ROUND(F13-H13,2)</f>
        <v>30516282.22</v>
      </c>
    </row>
    <row r="14" customFormat="false" ht="15" hidden="false" customHeight="false" outlineLevel="0" collapsed="false">
      <c r="E14" s="13" t="n">
        <v>10</v>
      </c>
      <c r="F14" s="14" t="n">
        <f aca="false">J13</f>
        <v>30516282.22</v>
      </c>
      <c r="G14" s="14" t="n">
        <f aca="false">F14*$B$12</f>
        <v>398123.78428559</v>
      </c>
      <c r="H14" s="14" t="n">
        <f aca="false">I14-G14</f>
        <v>4191792.82014366</v>
      </c>
      <c r="I14" s="14" t="n">
        <f aca="false">$B$16</f>
        <v>4589916.60442925</v>
      </c>
      <c r="J14" s="14" t="n">
        <f aca="false">ROUND(F14-H14,2)</f>
        <v>26324489.4</v>
      </c>
    </row>
    <row r="15" customFormat="false" ht="15" hidden="false" customHeight="false" outlineLevel="0" collapsed="false">
      <c r="A15" s="7" t="s">
        <v>128</v>
      </c>
      <c r="E15" s="13" t="n">
        <v>11</v>
      </c>
      <c r="F15" s="14" t="n">
        <f aca="false">J14</f>
        <v>26324489.4</v>
      </c>
      <c r="G15" s="14" t="n">
        <f aca="false">F15*$B$12</f>
        <v>343436.505920278</v>
      </c>
      <c r="H15" s="14" t="n">
        <f aca="false">I15-G15</f>
        <v>4246480.09850898</v>
      </c>
      <c r="I15" s="14" t="n">
        <f aca="false">$B$16</f>
        <v>4589916.60442925</v>
      </c>
      <c r="J15" s="14" t="n">
        <f aca="false">ROUND(F15-H15,2)</f>
        <v>22078009.3</v>
      </c>
    </row>
    <row r="16" customFormat="false" ht="15" hidden="false" customHeight="false" outlineLevel="0" collapsed="false">
      <c r="A16" s="11" t="s">
        <v>15</v>
      </c>
      <c r="B16" s="21" t="n">
        <f aca="false">PMT($B$12,$B$13,-$B$5)</f>
        <v>4589916.60442925</v>
      </c>
      <c r="C16" s="16" t="s">
        <v>142</v>
      </c>
      <c r="E16" s="13" t="n">
        <v>12</v>
      </c>
      <c r="F16" s="14" t="n">
        <f aca="false">J15</f>
        <v>22078009.3</v>
      </c>
      <c r="G16" s="14" t="n">
        <f aca="false">F16*$B$12</f>
        <v>288035.762306843</v>
      </c>
      <c r="H16" s="14" t="n">
        <f aca="false">I16-G16</f>
        <v>4301880.84212241</v>
      </c>
      <c r="I16" s="14" t="n">
        <f aca="false">$B$16</f>
        <v>4589916.60442925</v>
      </c>
      <c r="J16" s="14" t="n">
        <f aca="false">ROUND(F16-H16,2)</f>
        <v>17776128.46</v>
      </c>
    </row>
    <row r="17" customFormat="false" ht="15" hidden="false" customHeight="false" outlineLevel="0" collapsed="false">
      <c r="E17" s="13" t="n">
        <v>13</v>
      </c>
      <c r="F17" s="14" t="n">
        <f aca="false">J16</f>
        <v>17776128.46</v>
      </c>
      <c r="G17" s="14" t="n">
        <f aca="false">F17*$B$12</f>
        <v>231912.24545052</v>
      </c>
      <c r="H17" s="14" t="n">
        <f aca="false">I17-G17</f>
        <v>4358004.35897873</v>
      </c>
      <c r="I17" s="14" t="n">
        <f aca="false">$B$16</f>
        <v>4589916.60442925</v>
      </c>
      <c r="J17" s="14" t="n">
        <f aca="false">ROUND(F17-H17,2)</f>
        <v>13418124.1</v>
      </c>
    </row>
    <row r="18" customFormat="false" ht="15" hidden="false" customHeight="false" outlineLevel="0" collapsed="false">
      <c r="A18" s="7" t="s">
        <v>143</v>
      </c>
      <c r="E18" s="13" t="n">
        <v>14</v>
      </c>
      <c r="F18" s="14" t="n">
        <f aca="false">J17</f>
        <v>13418124.1</v>
      </c>
      <c r="G18" s="14" t="n">
        <f aca="false">F18*$B$12</f>
        <v>175056.52576527</v>
      </c>
      <c r="H18" s="14" t="n">
        <f aca="false">I18-G18</f>
        <v>4414860.07866398</v>
      </c>
      <c r="I18" s="14" t="n">
        <f aca="false">$B$16</f>
        <v>4589916.60442925</v>
      </c>
      <c r="J18" s="14" t="n">
        <f aca="false">ROUND(F18-H18,2)</f>
        <v>9003264.02</v>
      </c>
    </row>
    <row r="19" customFormat="false" ht="15" hidden="false" customHeight="false" outlineLevel="0" collapsed="false">
      <c r="A19" s="11" t="s">
        <v>144</v>
      </c>
      <c r="B19" s="22" t="n">
        <f aca="false">SUM(G5:G20)</f>
        <v>7543909.67147836</v>
      </c>
      <c r="E19" s="13" t="n">
        <v>15</v>
      </c>
      <c r="F19" s="14" t="n">
        <f aca="false">J18</f>
        <v>9003264.02</v>
      </c>
      <c r="G19" s="14" t="n">
        <f aca="false">F19*$B$12</f>
        <v>117459.05076915</v>
      </c>
      <c r="H19" s="14" t="n">
        <f aca="false">I19-G19</f>
        <v>4472457.5536601</v>
      </c>
      <c r="I19" s="14" t="n">
        <f aca="false">$B$16</f>
        <v>4589916.60442925</v>
      </c>
      <c r="J19" s="14" t="n">
        <f aca="false">ROUND(F19-H19,2)</f>
        <v>4530806.47</v>
      </c>
    </row>
    <row r="20" customFormat="false" ht="15" hidden="false" customHeight="false" outlineLevel="0" collapsed="false">
      <c r="A20" s="11" t="s">
        <v>145</v>
      </c>
      <c r="B20" s="14" t="n">
        <f aca="false">SUM(I5:I20)</f>
        <v>73438665.6708681</v>
      </c>
      <c r="E20" s="13" t="n">
        <v>16</v>
      </c>
      <c r="F20" s="14" t="n">
        <f aca="false">J19</f>
        <v>4530806.47</v>
      </c>
      <c r="G20" s="14" t="n">
        <f aca="false">F20*$B$12</f>
        <v>59110.1433883002</v>
      </c>
      <c r="H20" s="14" t="n">
        <f aca="false">I20-G20</f>
        <v>4530806.46104095</v>
      </c>
      <c r="I20" s="14" t="n">
        <f aca="false">$B$16</f>
        <v>4589916.60442925</v>
      </c>
      <c r="J20" s="14" t="n">
        <f aca="false">ROUND(F20-H20,2)</f>
        <v>0.01</v>
      </c>
    </row>
    <row r="21" customFormat="false" ht="15" hidden="false" customHeight="false" outlineLevel="0" collapsed="false">
      <c r="A21" s="11" t="s">
        <v>146</v>
      </c>
      <c r="B21" s="23" t="n">
        <f aca="false">J20</f>
        <v>0.01</v>
      </c>
    </row>
    <row r="22" customFormat="false" ht="15" hidden="false" customHeight="false" outlineLevel="0" collapsed="false">
      <c r="A22" s="11" t="s">
        <v>147</v>
      </c>
      <c r="B22" s="14" t="n">
        <f aca="false">NPV($B$12,I5:I20)</f>
        <v>65894756</v>
      </c>
    </row>
    <row r="23" customFormat="false" ht="15" hidden="false" customHeight="false" outlineLevel="0" collapsed="false">
      <c r="A23" s="11" t="s">
        <v>148</v>
      </c>
      <c r="B23" s="24" t="str">
        <f aca="false">IF(AND(ABS(J20)&lt;1,ABS(B22-$B$5)&lt;1),"Tabla correcta","Revisar")</f>
        <v>Tabla correcta</v>
      </c>
    </row>
    <row r="24" customFormat="false" ht="15" hidden="false" customHeight="false" outlineLevel="0" collapsed="false">
      <c r="A24" s="11" t="s">
        <v>149</v>
      </c>
      <c r="B24" s="22" t="n">
        <f aca="false">INDEX(J5:J20,8)</f>
        <v>34654092.04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J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7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10" min="9" style="0" width="18"/>
  </cols>
  <sheetData>
    <row r="1" customFormat="false" ht="16.15" hidden="false" customHeight="false" outlineLevel="0" collapsed="false">
      <c r="A1" s="10" t="s">
        <v>150</v>
      </c>
    </row>
    <row r="2" customFormat="false" ht="15" hidden="false" customHeight="false" outlineLevel="0" collapsed="false">
      <c r="A2" s="2" t="s">
        <v>151</v>
      </c>
    </row>
    <row r="4" customFormat="false" ht="23.85" hidden="false" customHeight="false" outlineLevel="0" collapsed="false">
      <c r="A4" s="7" t="s">
        <v>123</v>
      </c>
      <c r="E4" s="3" t="s">
        <v>124</v>
      </c>
      <c r="F4" s="3" t="s">
        <v>125</v>
      </c>
      <c r="G4" s="3" t="s">
        <v>126</v>
      </c>
      <c r="H4" s="3" t="s">
        <v>127</v>
      </c>
      <c r="I4" s="3" t="s">
        <v>128</v>
      </c>
      <c r="J4" s="3" t="s">
        <v>129</v>
      </c>
    </row>
    <row r="5" customFormat="false" ht="15" hidden="false" customHeight="false" outlineLevel="0" collapsed="false">
      <c r="A5" s="11" t="s">
        <v>130</v>
      </c>
      <c r="B5" s="12" t="n">
        <v>951963241</v>
      </c>
      <c r="E5" s="13" t="n">
        <v>1</v>
      </c>
      <c r="F5" s="14" t="n">
        <f aca="false">$B$5</f>
        <v>951963241</v>
      </c>
      <c r="G5" s="14" t="n">
        <f aca="false">F5*$B$14</f>
        <v>18245113.5913391</v>
      </c>
      <c r="H5" s="14" t="n">
        <f aca="false">$B$18</f>
        <v>39665135.0416667</v>
      </c>
      <c r="I5" s="14" t="n">
        <f aca="false">$B$18+G5</f>
        <v>57910248.6330057</v>
      </c>
      <c r="J5" s="14" t="n">
        <f aca="false">ROUND(F5-H5,2)</f>
        <v>912298105.96</v>
      </c>
    </row>
    <row r="6" customFormat="false" ht="15" hidden="false" customHeight="false" outlineLevel="0" collapsed="false">
      <c r="A6" s="11" t="s">
        <v>152</v>
      </c>
      <c r="B6" s="15" t="n">
        <v>0.1123</v>
      </c>
      <c r="C6" s="16" t="s">
        <v>64</v>
      </c>
      <c r="E6" s="13" t="n">
        <v>2</v>
      </c>
      <c r="F6" s="14" t="n">
        <f aca="false">J5</f>
        <v>912298105.96</v>
      </c>
      <c r="G6" s="14" t="n">
        <f aca="false">F6*$B$14</f>
        <v>17484900.5250652</v>
      </c>
      <c r="H6" s="14" t="n">
        <f aca="false">$B$18</f>
        <v>39665135.0416667</v>
      </c>
      <c r="I6" s="14" t="n">
        <f aca="false">$B$18+G6</f>
        <v>57150035.5667319</v>
      </c>
      <c r="J6" s="14" t="n">
        <f aca="false">ROUND(F6-H6,2)</f>
        <v>872632970.92</v>
      </c>
    </row>
    <row r="7" customFormat="false" ht="15" hidden="false" customHeight="false" outlineLevel="0" collapsed="false">
      <c r="A7" s="11" t="s">
        <v>135</v>
      </c>
      <c r="B7" s="17" t="n">
        <v>48</v>
      </c>
      <c r="E7" s="13" t="n">
        <v>3</v>
      </c>
      <c r="F7" s="14" t="n">
        <f aca="false">J6</f>
        <v>872632970.92</v>
      </c>
      <c r="G7" s="14" t="n">
        <f aca="false">F7*$B$14</f>
        <v>16724687.4587914</v>
      </c>
      <c r="H7" s="14" t="n">
        <f aca="false">$B$18</f>
        <v>39665135.0416667</v>
      </c>
      <c r="I7" s="14" t="n">
        <f aca="false">$B$18+G7</f>
        <v>56389822.500458</v>
      </c>
      <c r="J7" s="14" t="n">
        <f aca="false">ROUND(F7-H7,2)</f>
        <v>832967835.88</v>
      </c>
    </row>
    <row r="8" customFormat="false" ht="15" hidden="false" customHeight="false" outlineLevel="0" collapsed="false">
      <c r="A8" s="25" t="s">
        <v>153</v>
      </c>
      <c r="B8" s="26" t="n">
        <v>0.1123</v>
      </c>
      <c r="C8" s="16" t="s">
        <v>154</v>
      </c>
      <c r="E8" s="13" t="n">
        <v>4</v>
      </c>
      <c r="F8" s="14" t="n">
        <f aca="false">J7</f>
        <v>832967835.88</v>
      </c>
      <c r="G8" s="14" t="n">
        <f aca="false">F8*$B$14</f>
        <v>15964474.3925175</v>
      </c>
      <c r="H8" s="14" t="n">
        <f aca="false">$B$18</f>
        <v>39665135.0416667</v>
      </c>
      <c r="I8" s="14" t="n">
        <f aca="false">$B$18+G8</f>
        <v>55629609.4341842</v>
      </c>
      <c r="J8" s="14" t="n">
        <f aca="false">ROUND(F8-H8,2)</f>
        <v>793302700.84</v>
      </c>
    </row>
    <row r="9" customFormat="false" ht="15" hidden="false" customHeight="false" outlineLevel="0" collapsed="false">
      <c r="E9" s="13" t="n">
        <v>5</v>
      </c>
      <c r="F9" s="14" t="n">
        <f aca="false">J8</f>
        <v>793302700.84</v>
      </c>
      <c r="G9" s="14" t="n">
        <f aca="false">F9*$B$14</f>
        <v>15204261.3262437</v>
      </c>
      <c r="H9" s="14" t="n">
        <f aca="false">$B$18</f>
        <v>39665135.0416667</v>
      </c>
      <c r="I9" s="14" t="n">
        <f aca="false">$B$18+G9</f>
        <v>54869396.3679103</v>
      </c>
      <c r="J9" s="14" t="n">
        <f aca="false">ROUND(F9-H9,2)</f>
        <v>753637565.8</v>
      </c>
    </row>
    <row r="10" customFormat="false" ht="15" hidden="false" customHeight="false" outlineLevel="0" collapsed="false">
      <c r="A10" s="7" t="s">
        <v>136</v>
      </c>
      <c r="E10" s="13" t="n">
        <v>6</v>
      </c>
      <c r="F10" s="14" t="n">
        <f aca="false">J9</f>
        <v>753637565.8</v>
      </c>
      <c r="G10" s="14" t="n">
        <f aca="false">F10*$B$14</f>
        <v>14444048.2599698</v>
      </c>
      <c r="H10" s="14" t="n">
        <f aca="false">$B$18</f>
        <v>39665135.0416667</v>
      </c>
      <c r="I10" s="14" t="n">
        <f aca="false">$B$18+G10</f>
        <v>54109183.3016365</v>
      </c>
      <c r="J10" s="14" t="n">
        <f aca="false">ROUND(F10-H10,2)</f>
        <v>713972430.76</v>
      </c>
    </row>
    <row r="11" customFormat="false" ht="15" hidden="false" customHeight="false" outlineLevel="0" collapsed="false">
      <c r="A11" s="11" t="s">
        <v>155</v>
      </c>
      <c r="B11" s="18" t="n">
        <f aca="false">$B$6/4</f>
        <v>0.028075</v>
      </c>
      <c r="E11" s="13" t="n">
        <v>7</v>
      </c>
      <c r="F11" s="14" t="n">
        <f aca="false">J10</f>
        <v>713972430.76</v>
      </c>
      <c r="G11" s="14" t="n">
        <f aca="false">F11*$B$14</f>
        <v>13683835.193696</v>
      </c>
      <c r="H11" s="14" t="n">
        <f aca="false">$B$18</f>
        <v>39665135.0416667</v>
      </c>
      <c r="I11" s="14" t="n">
        <f aca="false">$B$18+G11</f>
        <v>53348970.2353626</v>
      </c>
      <c r="J11" s="14" t="n">
        <f aca="false">ROUND(F11-H11,2)</f>
        <v>674307295.72</v>
      </c>
    </row>
    <row r="12" customFormat="false" ht="15" hidden="false" customHeight="false" outlineLevel="0" collapsed="false">
      <c r="A12" s="11" t="s">
        <v>156</v>
      </c>
      <c r="B12" s="18" t="n">
        <f aca="false">$B$11/(1-$B$11)</f>
        <v>0.0288859737119634</v>
      </c>
      <c r="C12" s="16" t="s">
        <v>157</v>
      </c>
      <c r="E12" s="13" t="n">
        <v>8</v>
      </c>
      <c r="F12" s="14" t="n">
        <f aca="false">J11</f>
        <v>674307295.72</v>
      </c>
      <c r="G12" s="14" t="n">
        <f aca="false">F12*$B$14</f>
        <v>12923622.1274221</v>
      </c>
      <c r="H12" s="14" t="n">
        <f aca="false">$B$18</f>
        <v>39665135.0416667</v>
      </c>
      <c r="I12" s="14" t="n">
        <f aca="false">$B$18+G12</f>
        <v>52588757.1690888</v>
      </c>
      <c r="J12" s="14" t="n">
        <f aca="false">ROUND(F12-H12,2)</f>
        <v>634642160.68</v>
      </c>
    </row>
    <row r="13" customFormat="false" ht="15" hidden="false" customHeight="false" outlineLevel="0" collapsed="false">
      <c r="A13" s="11" t="s">
        <v>158</v>
      </c>
      <c r="B13" s="18" t="n">
        <f aca="false">(1+$B$12)^4-1</f>
        <v>0.120647397699535</v>
      </c>
      <c r="E13" s="13" t="n">
        <v>9</v>
      </c>
      <c r="F13" s="14" t="n">
        <f aca="false">J12</f>
        <v>634642160.68</v>
      </c>
      <c r="G13" s="14" t="n">
        <f aca="false">F13*$B$14</f>
        <v>12163409.0611483</v>
      </c>
      <c r="H13" s="14" t="n">
        <f aca="false">$B$18</f>
        <v>39665135.0416667</v>
      </c>
      <c r="I13" s="14" t="n">
        <f aca="false">$B$18+G13</f>
        <v>51828544.1028149</v>
      </c>
      <c r="J13" s="14" t="n">
        <f aca="false">ROUND(F13-H13,2)</f>
        <v>594977025.64</v>
      </c>
    </row>
    <row r="14" customFormat="false" ht="15" hidden="false" customHeight="false" outlineLevel="0" collapsed="false">
      <c r="A14" s="11" t="s">
        <v>159</v>
      </c>
      <c r="B14" s="19" t="n">
        <f aca="false">(1+$B$12)^(2/3)-1</f>
        <v>0.0191657753215064</v>
      </c>
      <c r="C14" s="16" t="s">
        <v>160</v>
      </c>
      <c r="E14" s="13" t="n">
        <v>10</v>
      </c>
      <c r="F14" s="14" t="n">
        <f aca="false">J13</f>
        <v>594977025.64</v>
      </c>
      <c r="G14" s="14" t="n">
        <f aca="false">F14*$B$14</f>
        <v>11403195.9948744</v>
      </c>
      <c r="H14" s="14" t="n">
        <f aca="false">$B$18</f>
        <v>39665135.0416667</v>
      </c>
      <c r="I14" s="14" t="n">
        <f aca="false">$B$18+G14</f>
        <v>51068331.0365411</v>
      </c>
      <c r="J14" s="14" t="n">
        <f aca="false">ROUND(F14-H14,2)</f>
        <v>555311890.6</v>
      </c>
    </row>
    <row r="15" customFormat="false" ht="15" hidden="false" customHeight="false" outlineLevel="0" collapsed="false">
      <c r="A15" s="11" t="s">
        <v>161</v>
      </c>
      <c r="B15" s="20" t="n">
        <f aca="false">$B$7/2</f>
        <v>24</v>
      </c>
      <c r="E15" s="13" t="n">
        <v>11</v>
      </c>
      <c r="F15" s="14" t="n">
        <f aca="false">J14</f>
        <v>555311890.6</v>
      </c>
      <c r="G15" s="14" t="n">
        <f aca="false">F15*$B$14</f>
        <v>10642982.9286006</v>
      </c>
      <c r="H15" s="14" t="n">
        <f aca="false">$B$18</f>
        <v>39665135.0416667</v>
      </c>
      <c r="I15" s="14" t="n">
        <f aca="false">$B$18+G15</f>
        <v>50308117.9702672</v>
      </c>
      <c r="J15" s="14" t="n">
        <f aca="false">ROUND(F15-H15,2)</f>
        <v>515646755.56</v>
      </c>
    </row>
    <row r="16" customFormat="false" ht="15" hidden="false" customHeight="false" outlineLevel="0" collapsed="false">
      <c r="E16" s="13" t="n">
        <v>12</v>
      </c>
      <c r="F16" s="14" t="n">
        <f aca="false">J15</f>
        <v>515646755.56</v>
      </c>
      <c r="G16" s="14" t="n">
        <f aca="false">F16*$B$14</f>
        <v>9882769.86232671</v>
      </c>
      <c r="H16" s="14" t="n">
        <f aca="false">$B$18</f>
        <v>39665135.0416667</v>
      </c>
      <c r="I16" s="14" t="n">
        <f aca="false">$B$18+G16</f>
        <v>49547904.9039934</v>
      </c>
      <c r="J16" s="14" t="n">
        <f aca="false">ROUND(F16-H16,2)</f>
        <v>475981620.52</v>
      </c>
    </row>
    <row r="17" customFormat="false" ht="15" hidden="false" customHeight="false" outlineLevel="0" collapsed="false">
      <c r="A17" s="7" t="s">
        <v>128</v>
      </c>
      <c r="E17" s="13" t="n">
        <v>13</v>
      </c>
      <c r="F17" s="14" t="n">
        <f aca="false">J16</f>
        <v>475981620.52</v>
      </c>
      <c r="G17" s="14" t="n">
        <f aca="false">F17*$B$14</f>
        <v>9122556.79605285</v>
      </c>
      <c r="H17" s="14" t="n">
        <f aca="false">$B$18</f>
        <v>39665135.0416667</v>
      </c>
      <c r="I17" s="14" t="n">
        <f aca="false">$B$18+G17</f>
        <v>48787691.8377195</v>
      </c>
      <c r="J17" s="14" t="n">
        <f aca="false">ROUND(F17-H17,2)</f>
        <v>436316485.48</v>
      </c>
    </row>
    <row r="18" customFormat="false" ht="15" hidden="false" customHeight="false" outlineLevel="0" collapsed="false">
      <c r="A18" s="11" t="s">
        <v>21</v>
      </c>
      <c r="B18" s="21" t="n">
        <f aca="false">$B$5/$B$15</f>
        <v>39665135.0416667</v>
      </c>
      <c r="E18" s="13" t="n">
        <v>14</v>
      </c>
      <c r="F18" s="14" t="n">
        <f aca="false">J17</f>
        <v>436316485.48</v>
      </c>
      <c r="G18" s="14" t="n">
        <f aca="false">F18*$B$14</f>
        <v>8362343.729779</v>
      </c>
      <c r="H18" s="14" t="n">
        <f aca="false">$B$18</f>
        <v>39665135.0416667</v>
      </c>
      <c r="I18" s="14" t="n">
        <f aca="false">$B$18+G18</f>
        <v>48027478.7714457</v>
      </c>
      <c r="J18" s="14" t="n">
        <f aca="false">ROUND(F18-H18,2)</f>
        <v>396651350.44</v>
      </c>
    </row>
    <row r="19" customFormat="false" ht="15" hidden="false" customHeight="false" outlineLevel="0" collapsed="false">
      <c r="A19" s="11" t="s">
        <v>162</v>
      </c>
      <c r="B19" s="14" t="n">
        <f aca="false">PMT($B$14,$B$15,-$B$5)</f>
        <v>49856956.6265014</v>
      </c>
      <c r="E19" s="13" t="n">
        <v>15</v>
      </c>
      <c r="F19" s="14" t="n">
        <f aca="false">J18</f>
        <v>396651350.44</v>
      </c>
      <c r="G19" s="14" t="n">
        <f aca="false">F19*$B$14</f>
        <v>7602130.66350515</v>
      </c>
      <c r="H19" s="14" t="n">
        <f aca="false">$B$18</f>
        <v>39665135.0416667</v>
      </c>
      <c r="I19" s="14" t="n">
        <f aca="false">$B$18+G19</f>
        <v>47267265.7051718</v>
      </c>
      <c r="J19" s="14" t="n">
        <f aca="false">ROUND(F19-H19,2)</f>
        <v>356986215.4</v>
      </c>
    </row>
    <row r="20" customFormat="false" ht="15" hidden="false" customHeight="false" outlineLevel="0" collapsed="false">
      <c r="E20" s="13" t="n">
        <v>16</v>
      </c>
      <c r="F20" s="14" t="n">
        <f aca="false">J19</f>
        <v>356986215.4</v>
      </c>
      <c r="G20" s="14" t="n">
        <f aca="false">F20*$B$14</f>
        <v>6841917.5972313</v>
      </c>
      <c r="H20" s="14" t="n">
        <f aca="false">$B$18</f>
        <v>39665135.0416667</v>
      </c>
      <c r="I20" s="14" t="n">
        <f aca="false">$B$18+G20</f>
        <v>46507052.638898</v>
      </c>
      <c r="J20" s="14" t="n">
        <f aca="false">ROUND(F20-H20,2)</f>
        <v>317321080.36</v>
      </c>
    </row>
    <row r="21" customFormat="false" ht="15" hidden="false" customHeight="false" outlineLevel="0" collapsed="false">
      <c r="A21" s="7" t="s">
        <v>143</v>
      </c>
      <c r="E21" s="13" t="n">
        <v>17</v>
      </c>
      <c r="F21" s="14" t="n">
        <f aca="false">J20</f>
        <v>317321080.36</v>
      </c>
      <c r="G21" s="14" t="n">
        <f aca="false">F21*$B$14</f>
        <v>6081704.53095745</v>
      </c>
      <c r="H21" s="14" t="n">
        <f aca="false">$B$18</f>
        <v>39665135.0416667</v>
      </c>
      <c r="I21" s="14" t="n">
        <f aca="false">$B$18+G21</f>
        <v>45746839.5726241</v>
      </c>
      <c r="J21" s="14" t="n">
        <f aca="false">ROUND(F21-H21,2)</f>
        <v>277655945.32</v>
      </c>
    </row>
    <row r="22" customFormat="false" ht="15" hidden="false" customHeight="false" outlineLevel="0" collapsed="false">
      <c r="A22" s="11" t="s">
        <v>144</v>
      </c>
      <c r="B22" s="22" t="n">
        <f aca="false">SUM(G5:G28)</f>
        <v>228063919.900555</v>
      </c>
      <c r="E22" s="13" t="n">
        <v>18</v>
      </c>
      <c r="F22" s="14" t="n">
        <f aca="false">J21</f>
        <v>277655945.32</v>
      </c>
      <c r="G22" s="14" t="n">
        <f aca="false">F22*$B$14</f>
        <v>5321491.46468359</v>
      </c>
      <c r="H22" s="14" t="n">
        <f aca="false">$B$18</f>
        <v>39665135.0416667</v>
      </c>
      <c r="I22" s="14" t="n">
        <f aca="false">$B$18+G22</f>
        <v>44986626.5063503</v>
      </c>
      <c r="J22" s="14" t="n">
        <f aca="false">ROUND(F22-H22,2)</f>
        <v>237990810.28</v>
      </c>
    </row>
    <row r="23" customFormat="false" ht="15" hidden="false" customHeight="false" outlineLevel="0" collapsed="false">
      <c r="A23" s="11" t="s">
        <v>145</v>
      </c>
      <c r="B23" s="14" t="n">
        <f aca="false">SUM(I5:I28)</f>
        <v>1180027160.90055</v>
      </c>
      <c r="E23" s="13" t="n">
        <v>19</v>
      </c>
      <c r="F23" s="14" t="n">
        <f aca="false">J22</f>
        <v>237990810.28</v>
      </c>
      <c r="G23" s="14" t="n">
        <f aca="false">F23*$B$14</f>
        <v>4561278.39840974</v>
      </c>
      <c r="H23" s="14" t="n">
        <f aca="false">$B$18</f>
        <v>39665135.0416667</v>
      </c>
      <c r="I23" s="14" t="n">
        <f aca="false">$B$18+G23</f>
        <v>44226413.4400764</v>
      </c>
      <c r="J23" s="14" t="n">
        <f aca="false">ROUND(F23-H23,2)</f>
        <v>198325675.24</v>
      </c>
    </row>
    <row r="24" customFormat="false" ht="15" hidden="false" customHeight="false" outlineLevel="0" collapsed="false">
      <c r="A24" s="11" t="s">
        <v>146</v>
      </c>
      <c r="B24" s="23" t="n">
        <f aca="false">J28</f>
        <v>0.04</v>
      </c>
      <c r="E24" s="13" t="n">
        <v>20</v>
      </c>
      <c r="F24" s="14" t="n">
        <f aca="false">J23</f>
        <v>198325675.24</v>
      </c>
      <c r="G24" s="14" t="n">
        <f aca="false">F24*$B$14</f>
        <v>3801065.33213589</v>
      </c>
      <c r="H24" s="14" t="n">
        <f aca="false">$B$18</f>
        <v>39665135.0416667</v>
      </c>
      <c r="I24" s="14" t="n">
        <f aca="false">$B$18+G24</f>
        <v>43466200.3738026</v>
      </c>
      <c r="J24" s="14" t="n">
        <f aca="false">ROUND(F24-H24,2)</f>
        <v>158660540.2</v>
      </c>
    </row>
    <row r="25" customFormat="false" ht="15" hidden="false" customHeight="false" outlineLevel="0" collapsed="false">
      <c r="A25" s="11" t="s">
        <v>147</v>
      </c>
      <c r="B25" s="14" t="n">
        <f aca="false">NPV($B$14,I5:I28)</f>
        <v>951963241.006461</v>
      </c>
      <c r="E25" s="13" t="n">
        <v>21</v>
      </c>
      <c r="F25" s="14" t="n">
        <f aca="false">J24</f>
        <v>158660540.2</v>
      </c>
      <c r="G25" s="14" t="n">
        <f aca="false">F25*$B$14</f>
        <v>3040852.26586204</v>
      </c>
      <c r="H25" s="14" t="n">
        <f aca="false">$B$18</f>
        <v>39665135.0416667</v>
      </c>
      <c r="I25" s="14" t="n">
        <f aca="false">$B$18+G25</f>
        <v>42705987.3075287</v>
      </c>
      <c r="J25" s="14" t="n">
        <f aca="false">ROUND(F25-H25,2)</f>
        <v>118995405.16</v>
      </c>
    </row>
    <row r="26" customFormat="false" ht="15" hidden="false" customHeight="false" outlineLevel="0" collapsed="false">
      <c r="A26" s="11" t="s">
        <v>148</v>
      </c>
      <c r="B26" s="24" t="str">
        <f aca="false">IF(AND(ABS(J28)&lt;1,ABS(B25-$B$5)&lt;1),"Tabla correcta","Revisar")</f>
        <v>Tabla correcta</v>
      </c>
      <c r="E26" s="13" t="n">
        <v>22</v>
      </c>
      <c r="F26" s="14" t="n">
        <f aca="false">J25</f>
        <v>118995405.16</v>
      </c>
      <c r="G26" s="14" t="n">
        <f aca="false">F26*$B$14</f>
        <v>2280639.19958819</v>
      </c>
      <c r="H26" s="14" t="n">
        <f aca="false">$B$18</f>
        <v>39665135.0416667</v>
      </c>
      <c r="I26" s="14" t="n">
        <f aca="false">$B$18+G26</f>
        <v>41945774.2412549</v>
      </c>
      <c r="J26" s="14" t="n">
        <f aca="false">ROUND(F26-H26,2)</f>
        <v>79330270.12</v>
      </c>
    </row>
    <row r="27" customFormat="false" ht="15" hidden="false" customHeight="false" outlineLevel="0" collapsed="false">
      <c r="A27" s="11" t="s">
        <v>163</v>
      </c>
      <c r="B27" s="22" t="n">
        <f aca="false">$B$19*$B$15-$B$5</f>
        <v>244603718.036033</v>
      </c>
      <c r="E27" s="13" t="n">
        <v>23</v>
      </c>
      <c r="F27" s="14" t="n">
        <f aca="false">J26</f>
        <v>79330270.12</v>
      </c>
      <c r="G27" s="14" t="n">
        <f aca="false">F27*$B$14</f>
        <v>1520426.13331434</v>
      </c>
      <c r="H27" s="14" t="n">
        <f aca="false">$B$18</f>
        <v>39665135.0416667</v>
      </c>
      <c r="I27" s="14" t="n">
        <f aca="false">$B$18+G27</f>
        <v>41185561.174981</v>
      </c>
      <c r="J27" s="14" t="n">
        <f aca="false">ROUND(F27-H27,2)</f>
        <v>39665135.08</v>
      </c>
    </row>
    <row r="28" customFormat="false" ht="15" hidden="false" customHeight="false" outlineLevel="0" collapsed="false">
      <c r="E28" s="13" t="n">
        <v>24</v>
      </c>
      <c r="F28" s="14" t="n">
        <f aca="false">J27</f>
        <v>39665135.08</v>
      </c>
      <c r="G28" s="14" t="n">
        <f aca="false">F28*$B$14</f>
        <v>760213.067040483</v>
      </c>
      <c r="H28" s="14" t="n">
        <f aca="false">$B$18</f>
        <v>39665135.0416667</v>
      </c>
      <c r="I28" s="14" t="n">
        <f aca="false">$B$18+G28</f>
        <v>40425348.1087071</v>
      </c>
      <c r="J28" s="14" t="n">
        <f aca="false">ROUND(F28-H28,2)</f>
        <v>0.04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J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7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10" min="9" style="0" width="18"/>
  </cols>
  <sheetData>
    <row r="1" customFormat="false" ht="16.15" hidden="false" customHeight="false" outlineLevel="0" collapsed="false">
      <c r="A1" s="10" t="s">
        <v>164</v>
      </c>
    </row>
    <row r="2" customFormat="false" ht="15" hidden="false" customHeight="false" outlineLevel="0" collapsed="false">
      <c r="A2" s="2" t="s">
        <v>165</v>
      </c>
    </row>
    <row r="4" customFormat="false" ht="23.85" hidden="false" customHeight="false" outlineLevel="0" collapsed="false">
      <c r="A4" s="7" t="s">
        <v>123</v>
      </c>
      <c r="E4" s="3" t="s">
        <v>124</v>
      </c>
      <c r="F4" s="3" t="s">
        <v>125</v>
      </c>
      <c r="G4" s="3" t="s">
        <v>126</v>
      </c>
      <c r="H4" s="3" t="s">
        <v>127</v>
      </c>
      <c r="I4" s="3" t="s">
        <v>128</v>
      </c>
      <c r="J4" s="3" t="s">
        <v>129</v>
      </c>
    </row>
    <row r="5" customFormat="false" ht="15" hidden="false" customHeight="false" outlineLevel="0" collapsed="false">
      <c r="A5" s="11" t="s">
        <v>166</v>
      </c>
      <c r="B5" s="12" t="n">
        <v>654321789</v>
      </c>
      <c r="E5" s="13" t="n">
        <v>1</v>
      </c>
      <c r="F5" s="14" t="n">
        <f aca="false">$B$5</f>
        <v>654321789</v>
      </c>
      <c r="G5" s="14" t="n">
        <f aca="false">F5*$B$14</f>
        <v>32844231.0608802</v>
      </c>
      <c r="H5" s="14" t="n">
        <f aca="false">I5-G5</f>
        <v>13052236.8330746</v>
      </c>
      <c r="I5" s="14" t="n">
        <f aca="false">$B$19</f>
        <v>45896467.8939549</v>
      </c>
      <c r="J5" s="14" t="n">
        <f aca="false">ROUND(F5-H5,2)</f>
        <v>641269552.17</v>
      </c>
    </row>
    <row r="6" customFormat="false" ht="15" hidden="false" customHeight="false" outlineLevel="0" collapsed="false">
      <c r="A6" s="11" t="s">
        <v>167</v>
      </c>
      <c r="B6" s="15" t="n">
        <v>0.1469</v>
      </c>
      <c r="C6" s="16" t="s">
        <v>168</v>
      </c>
      <c r="E6" s="13" t="n">
        <v>2</v>
      </c>
      <c r="F6" s="14" t="n">
        <f aca="false">J5</f>
        <v>641269552.17</v>
      </c>
      <c r="G6" s="14" t="n">
        <f aca="false">F6*$B$14</f>
        <v>32189063.0846448</v>
      </c>
      <c r="H6" s="14" t="n">
        <f aca="false">I6-G6</f>
        <v>13707404.80931</v>
      </c>
      <c r="I6" s="14" t="n">
        <f aca="false">$B$19</f>
        <v>45896467.8939549</v>
      </c>
      <c r="J6" s="14" t="n">
        <f aca="false">ROUND(F6-H6,2)</f>
        <v>627562147.36</v>
      </c>
    </row>
    <row r="7" customFormat="false" ht="15" hidden="false" customHeight="false" outlineLevel="0" collapsed="false">
      <c r="A7" s="11" t="s">
        <v>169</v>
      </c>
      <c r="B7" s="17" t="n">
        <v>8</v>
      </c>
      <c r="E7" s="13" t="n">
        <v>3</v>
      </c>
      <c r="F7" s="14" t="n">
        <f aca="false">J6</f>
        <v>627562147.36</v>
      </c>
      <c r="G7" s="14" t="n">
        <f aca="false">F7*$B$14</f>
        <v>31501008.4020815</v>
      </c>
      <c r="H7" s="14" t="n">
        <f aca="false">I7-G7</f>
        <v>14395459.4918734</v>
      </c>
      <c r="I7" s="14" t="n">
        <f aca="false">$B$19</f>
        <v>45896467.8939549</v>
      </c>
      <c r="J7" s="14" t="n">
        <f aca="false">ROUND(F7-H7,2)</f>
        <v>613166687.87</v>
      </c>
    </row>
    <row r="8" customFormat="false" ht="15" hidden="false" customHeight="false" outlineLevel="0" collapsed="false">
      <c r="A8" s="11" t="s">
        <v>170</v>
      </c>
      <c r="B8" s="15" t="n">
        <v>0.11</v>
      </c>
      <c r="E8" s="13" t="n">
        <v>4</v>
      </c>
      <c r="F8" s="14" t="n">
        <f aca="false">J7</f>
        <v>613166687.87</v>
      </c>
      <c r="G8" s="14" t="n">
        <f aca="false">F8*$B$14</f>
        <v>30778416.2376976</v>
      </c>
      <c r="H8" s="14" t="n">
        <f aca="false">I8-G8</f>
        <v>15118051.6562573</v>
      </c>
      <c r="I8" s="14" t="n">
        <f aca="false">$B$19</f>
        <v>45896467.8939549</v>
      </c>
      <c r="J8" s="14" t="n">
        <f aca="false">ROUND(F8-H8,2)</f>
        <v>598048636.21</v>
      </c>
    </row>
    <row r="9" customFormat="false" ht="15" hidden="false" customHeight="false" outlineLevel="0" collapsed="false">
      <c r="E9" s="13" t="n">
        <v>5</v>
      </c>
      <c r="F9" s="14" t="n">
        <f aca="false">J8</f>
        <v>598048636.21</v>
      </c>
      <c r="G9" s="14" t="n">
        <f aca="false">F9*$B$14</f>
        <v>30019552.9532114</v>
      </c>
      <c r="H9" s="14" t="n">
        <f aca="false">I9-G9</f>
        <v>15876914.9407434</v>
      </c>
      <c r="I9" s="14" t="n">
        <f aca="false">$B$19</f>
        <v>45896467.8939549</v>
      </c>
      <c r="J9" s="14" t="n">
        <f aca="false">ROUND(F9-H9,2)</f>
        <v>582171721.27</v>
      </c>
    </row>
    <row r="10" customFormat="false" ht="15" hidden="false" customHeight="false" outlineLevel="0" collapsed="false">
      <c r="A10" s="7" t="s">
        <v>136</v>
      </c>
      <c r="E10" s="13" t="n">
        <v>6</v>
      </c>
      <c r="F10" s="14" t="n">
        <f aca="false">J9</f>
        <v>582171721.27</v>
      </c>
      <c r="G10" s="14" t="n">
        <f aca="false">F10*$B$14</f>
        <v>29222597.8898316</v>
      </c>
      <c r="H10" s="14" t="n">
        <f aca="false">I10-G10</f>
        <v>16673870.0041233</v>
      </c>
      <c r="I10" s="14" t="n">
        <f aca="false">$B$19</f>
        <v>45896467.8939549</v>
      </c>
      <c r="J10" s="14" t="n">
        <f aca="false">ROUND(F10-H10,2)</f>
        <v>565497851.27</v>
      </c>
    </row>
    <row r="11" customFormat="false" ht="15" hidden="false" customHeight="false" outlineLevel="0" collapsed="false">
      <c r="A11" s="11" t="s">
        <v>171</v>
      </c>
      <c r="B11" s="18" t="n">
        <f aca="false">$B$6/360</f>
        <v>0.000408055555555556</v>
      </c>
      <c r="E11" s="13" t="n">
        <v>7</v>
      </c>
      <c r="F11" s="14" t="n">
        <f aca="false">J10</f>
        <v>565497851.27</v>
      </c>
      <c r="G11" s="14" t="n">
        <f aca="false">F11*$B$14</f>
        <v>28385638.9987086</v>
      </c>
      <c r="H11" s="14" t="n">
        <f aca="false">I11-G11</f>
        <v>17510828.8952463</v>
      </c>
      <c r="I11" s="14" t="n">
        <f aca="false">$B$19</f>
        <v>45896467.8939549</v>
      </c>
      <c r="J11" s="14" t="n">
        <f aca="false">ROUND(F11-H11,2)</f>
        <v>547987022.37</v>
      </c>
    </row>
    <row r="12" customFormat="false" ht="15" hidden="false" customHeight="false" outlineLevel="0" collapsed="false">
      <c r="A12" s="11" t="s">
        <v>172</v>
      </c>
      <c r="B12" s="27" t="n">
        <f aca="false">$B$11/(1-$B$11)</f>
        <v>0.000408222132864772</v>
      </c>
      <c r="E12" s="13" t="n">
        <v>8</v>
      </c>
      <c r="F12" s="14" t="n">
        <f aca="false">J11</f>
        <v>547987022.37</v>
      </c>
      <c r="G12" s="14" t="n">
        <f aca="false">F12*$B$14</f>
        <v>27506668.2535373</v>
      </c>
      <c r="H12" s="14" t="n">
        <f aca="false">I12-G12</f>
        <v>18389799.6404176</v>
      </c>
      <c r="I12" s="14" t="n">
        <f aca="false">$B$19</f>
        <v>45896467.8939549</v>
      </c>
      <c r="J12" s="14" t="n">
        <f aca="false">ROUND(F12-H12,2)</f>
        <v>529597222.73</v>
      </c>
    </row>
    <row r="13" customFormat="false" ht="15" hidden="false" customHeight="false" outlineLevel="0" collapsed="false">
      <c r="A13" s="11" t="s">
        <v>158</v>
      </c>
      <c r="B13" s="18" t="n">
        <f aca="false">(1+$B$12)^360-1</f>
        <v>0.158272857735445</v>
      </c>
      <c r="E13" s="13" t="n">
        <v>9</v>
      </c>
      <c r="F13" s="14" t="n">
        <f aca="false">J12</f>
        <v>529597222.73</v>
      </c>
      <c r="G13" s="14" t="n">
        <f aca="false">F13*$B$14</f>
        <v>26583576.8347683</v>
      </c>
      <c r="H13" s="14" t="n">
        <f aca="false">I13-G13</f>
        <v>19312891.0591865</v>
      </c>
      <c r="I13" s="14" t="n">
        <f aca="false">$B$19</f>
        <v>45896467.8939549</v>
      </c>
      <c r="J13" s="14" t="n">
        <f aca="false">ROUND(F13-H13,2)</f>
        <v>510284331.67</v>
      </c>
    </row>
    <row r="14" customFormat="false" ht="15" hidden="false" customHeight="false" outlineLevel="0" collapsed="false">
      <c r="A14" s="11" t="s">
        <v>173</v>
      </c>
      <c r="B14" s="19" t="n">
        <f aca="false">(1+$B$12)^120-1</f>
        <v>0.0501958388258414</v>
      </c>
      <c r="C14" s="16" t="s">
        <v>174</v>
      </c>
      <c r="E14" s="13" t="n">
        <v>10</v>
      </c>
      <c r="F14" s="14" t="n">
        <f aca="false">J13</f>
        <v>510284331.67</v>
      </c>
      <c r="G14" s="14" t="n">
        <f aca="false">F14*$B$14</f>
        <v>25614150.0678595</v>
      </c>
      <c r="H14" s="14" t="n">
        <f aca="false">I14-G14</f>
        <v>20282317.8260953</v>
      </c>
      <c r="I14" s="14" t="n">
        <f aca="false">$B$19</f>
        <v>45896467.8939549</v>
      </c>
      <c r="J14" s="14" t="n">
        <f aca="false">ROUND(F14-H14,2)</f>
        <v>490002013.84</v>
      </c>
    </row>
    <row r="15" customFormat="false" ht="15" hidden="false" customHeight="false" outlineLevel="0" collapsed="false">
      <c r="A15" s="11" t="s">
        <v>175</v>
      </c>
      <c r="B15" s="14" t="n">
        <f aca="false">$B$5*$B$8</f>
        <v>71975396.79</v>
      </c>
      <c r="E15" s="13" t="n">
        <v>11</v>
      </c>
      <c r="F15" s="14" t="n">
        <f aca="false">J14</f>
        <v>490002013.84</v>
      </c>
      <c r="G15" s="14" t="n">
        <f aca="false">F15*$B$14</f>
        <v>24596062.1110504</v>
      </c>
      <c r="H15" s="14" t="n">
        <f aca="false">I15-G15</f>
        <v>21300405.7829045</v>
      </c>
      <c r="I15" s="14" t="n">
        <f aca="false">$B$19</f>
        <v>45896467.8939549</v>
      </c>
      <c r="J15" s="14" t="n">
        <f aca="false">ROUND(F15-H15,2)</f>
        <v>468701608.06</v>
      </c>
    </row>
    <row r="16" customFormat="false" ht="15" hidden="false" customHeight="false" outlineLevel="0" collapsed="false">
      <c r="A16" s="11" t="s">
        <v>176</v>
      </c>
      <c r="B16" s="20" t="n">
        <f aca="false">$B$7*3</f>
        <v>24</v>
      </c>
      <c r="E16" s="13" t="n">
        <v>12</v>
      </c>
      <c r="F16" s="14" t="n">
        <f aca="false">J15</f>
        <v>468701608.06</v>
      </c>
      <c r="G16" s="14" t="n">
        <f aca="false">F16*$B$14</f>
        <v>23526870.3755925</v>
      </c>
      <c r="H16" s="14" t="n">
        <f aca="false">I16-G16</f>
        <v>22369597.5183624</v>
      </c>
      <c r="I16" s="14" t="n">
        <f aca="false">$B$19</f>
        <v>45896467.8939549</v>
      </c>
      <c r="J16" s="14" t="n">
        <f aca="false">ROUND(F16-H16,2)</f>
        <v>446332010.54</v>
      </c>
    </row>
    <row r="17" customFormat="false" ht="15" hidden="false" customHeight="false" outlineLevel="0" collapsed="false">
      <c r="E17" s="13" t="n">
        <v>13</v>
      </c>
      <c r="F17" s="14" t="n">
        <f aca="false">J16</f>
        <v>446332010.54</v>
      </c>
      <c r="G17" s="14" t="n">
        <f aca="false">F17*$B$14</f>
        <v>22404009.6638796</v>
      </c>
      <c r="H17" s="14" t="n">
        <f aca="false">I17-G17</f>
        <v>23492458.2300753</v>
      </c>
      <c r="I17" s="14" t="n">
        <f aca="false">$B$19</f>
        <v>45896467.8939549</v>
      </c>
      <c r="J17" s="14" t="n">
        <f aca="false">ROUND(F17-H17,2)</f>
        <v>422839552.31</v>
      </c>
    </row>
    <row r="18" customFormat="false" ht="15" hidden="false" customHeight="false" outlineLevel="0" collapsed="false">
      <c r="A18" s="7" t="s">
        <v>128</v>
      </c>
      <c r="E18" s="13" t="n">
        <v>14</v>
      </c>
      <c r="F18" s="14" t="n">
        <f aca="false">J17</f>
        <v>422839552.31</v>
      </c>
      <c r="G18" s="14" t="n">
        <f aca="false">F18*$B$14</f>
        <v>21224786.0169437</v>
      </c>
      <c r="H18" s="14" t="n">
        <f aca="false">I18-G18</f>
        <v>24671681.8770112</v>
      </c>
      <c r="I18" s="14" t="n">
        <f aca="false">$B$19</f>
        <v>45896467.8939549</v>
      </c>
      <c r="J18" s="14" t="n">
        <f aca="false">ROUND(F18-H18,2)</f>
        <v>398167870.43</v>
      </c>
    </row>
    <row r="19" customFormat="false" ht="15" hidden="false" customHeight="false" outlineLevel="0" collapsed="false">
      <c r="A19" s="11" t="s">
        <v>177</v>
      </c>
      <c r="B19" s="21" t="n">
        <f aca="false">PMT($B$14,$B$16,-$B$5,$B$15)</f>
        <v>45896467.8939549</v>
      </c>
      <c r="C19" s="16" t="s">
        <v>178</v>
      </c>
      <c r="E19" s="13" t="n">
        <v>15</v>
      </c>
      <c r="F19" s="14" t="n">
        <f aca="false">J18</f>
        <v>398167870.43</v>
      </c>
      <c r="G19" s="14" t="n">
        <f aca="false">F19*$B$14</f>
        <v>19986370.2497328</v>
      </c>
      <c r="H19" s="14" t="n">
        <f aca="false">I19-G19</f>
        <v>25910097.6442221</v>
      </c>
      <c r="I19" s="14" t="n">
        <f aca="false">$B$19</f>
        <v>45896467.8939549</v>
      </c>
      <c r="J19" s="14" t="n">
        <f aca="false">ROUND(F19-H19,2)</f>
        <v>372257772.79</v>
      </c>
    </row>
    <row r="20" customFormat="false" ht="15" hidden="false" customHeight="false" outlineLevel="0" collapsed="false">
      <c r="E20" s="13" t="n">
        <v>16</v>
      </c>
      <c r="F20" s="14" t="n">
        <f aca="false">J19</f>
        <v>372257772.79</v>
      </c>
      <c r="G20" s="14" t="n">
        <f aca="false">F20*$B$14</f>
        <v>18685791.1646335</v>
      </c>
      <c r="H20" s="14" t="n">
        <f aca="false">I20-G20</f>
        <v>27210676.7293213</v>
      </c>
      <c r="I20" s="14" t="n">
        <f aca="false">$B$19</f>
        <v>45896467.8939549</v>
      </c>
      <c r="J20" s="14" t="n">
        <f aca="false">ROUND(F20-H20,2)</f>
        <v>345047096.06</v>
      </c>
    </row>
    <row r="21" customFormat="false" ht="15" hidden="false" customHeight="false" outlineLevel="0" collapsed="false">
      <c r="A21" s="7" t="s">
        <v>143</v>
      </c>
      <c r="E21" s="13" t="n">
        <v>17</v>
      </c>
      <c r="F21" s="14" t="n">
        <f aca="false">J20</f>
        <v>345047096.06</v>
      </c>
      <c r="G21" s="14" t="n">
        <f aca="false">F21*$B$14</f>
        <v>17319928.4211524</v>
      </c>
      <c r="H21" s="14" t="n">
        <f aca="false">I21-G21</f>
        <v>28576539.4728025</v>
      </c>
      <c r="I21" s="14" t="n">
        <f aca="false">$B$19</f>
        <v>45896467.8939549</v>
      </c>
      <c r="J21" s="14" t="n">
        <f aca="false">ROUND(F21-H21,2)</f>
        <v>316470556.59</v>
      </c>
    </row>
    <row r="22" customFormat="false" ht="15" hidden="false" customHeight="false" outlineLevel="0" collapsed="false">
      <c r="A22" s="11" t="s">
        <v>144</v>
      </c>
      <c r="B22" s="22" t="n">
        <f aca="false">SUM(G5:G28)</f>
        <v>519168837.246581</v>
      </c>
      <c r="E22" s="13" t="n">
        <v>18</v>
      </c>
      <c r="F22" s="14" t="n">
        <f aca="false">J21</f>
        <v>316470556.59</v>
      </c>
      <c r="G22" s="14" t="n">
        <f aca="false">F22*$B$14</f>
        <v>15885505.051716</v>
      </c>
      <c r="H22" s="14" t="n">
        <f aca="false">I22-G22</f>
        <v>30010962.8422389</v>
      </c>
      <c r="I22" s="14" t="n">
        <f aca="false">$B$19</f>
        <v>45896467.8939549</v>
      </c>
      <c r="J22" s="14" t="n">
        <f aca="false">ROUND(F22-H22,2)</f>
        <v>286459593.75</v>
      </c>
    </row>
    <row r="23" customFormat="false" ht="15" hidden="false" customHeight="false" outlineLevel="0" collapsed="false">
      <c r="A23" s="11" t="s">
        <v>145</v>
      </c>
      <c r="B23" s="14" t="n">
        <f aca="false">SUM(I5:I29)</f>
        <v>1173490626.24492</v>
      </c>
      <c r="E23" s="13" t="n">
        <v>19</v>
      </c>
      <c r="F23" s="14" t="n">
        <f aca="false">J22</f>
        <v>286459593.75</v>
      </c>
      <c r="G23" s="14" t="n">
        <f aca="false">F23*$B$14</f>
        <v>14379079.597991</v>
      </c>
      <c r="H23" s="14" t="n">
        <f aca="false">I23-G23</f>
        <v>31517388.2959639</v>
      </c>
      <c r="I23" s="14" t="n">
        <f aca="false">$B$19</f>
        <v>45896467.8939549</v>
      </c>
      <c r="J23" s="14" t="n">
        <f aca="false">ROUND(F23-H23,2)</f>
        <v>254942205.45</v>
      </c>
    </row>
    <row r="24" customFormat="false" ht="15" hidden="false" customHeight="false" outlineLevel="0" collapsed="false">
      <c r="A24" s="11" t="s">
        <v>146</v>
      </c>
      <c r="B24" s="23" t="n">
        <f aca="false">J29</f>
        <v>0</v>
      </c>
      <c r="E24" s="13" t="n">
        <v>20</v>
      </c>
      <c r="F24" s="14" t="n">
        <f aca="false">J23</f>
        <v>254942205.45</v>
      </c>
      <c r="G24" s="14" t="n">
        <f aca="false">F24*$B$14</f>
        <v>12797037.8546728</v>
      </c>
      <c r="H24" s="14" t="n">
        <f aca="false">I24-G24</f>
        <v>33099430.0392821</v>
      </c>
      <c r="I24" s="14" t="n">
        <f aca="false">$B$19</f>
        <v>45896467.8939549</v>
      </c>
      <c r="J24" s="14" t="n">
        <f aca="false">ROUND(F24-H24,2)</f>
        <v>221842775.41</v>
      </c>
    </row>
    <row r="25" customFormat="false" ht="15" hidden="false" customHeight="false" outlineLevel="0" collapsed="false">
      <c r="A25" s="11" t="s">
        <v>147</v>
      </c>
      <c r="B25" s="14" t="n">
        <f aca="false">NPV($B$14,I5:I28)+$B$15/(1+$B$14)^$B$16</f>
        <v>654321789</v>
      </c>
      <c r="E25" s="13" t="n">
        <v>21</v>
      </c>
      <c r="F25" s="14" t="n">
        <f aca="false">J24</f>
        <v>221842775.41</v>
      </c>
      <c r="G25" s="14" t="n">
        <f aca="false">F25*$B$14</f>
        <v>11135584.1991577</v>
      </c>
      <c r="H25" s="14" t="n">
        <f aca="false">I25-G25</f>
        <v>34760883.6947972</v>
      </c>
      <c r="I25" s="14" t="n">
        <f aca="false">$B$19</f>
        <v>45896467.8939549</v>
      </c>
      <c r="J25" s="14" t="n">
        <f aca="false">ROUND(F25-H25,2)</f>
        <v>187081891.72</v>
      </c>
    </row>
    <row r="26" customFormat="false" ht="15" hidden="false" customHeight="false" outlineLevel="0" collapsed="false">
      <c r="A26" s="11" t="s">
        <v>148</v>
      </c>
      <c r="B26" s="24" t="str">
        <f aca="false">IF(AND(ABS(J29)&lt;1,ABS(B25-$B$5)&lt;1),"Tabla correcta","Revisar")</f>
        <v>Tabla correcta</v>
      </c>
      <c r="E26" s="13" t="n">
        <v>22</v>
      </c>
      <c r="F26" s="14" t="n">
        <f aca="false">J25</f>
        <v>187081891.72</v>
      </c>
      <c r="G26" s="14" t="n">
        <f aca="false">F26*$B$14</f>
        <v>9390732.48401064</v>
      </c>
      <c r="H26" s="14" t="n">
        <f aca="false">I26-G26</f>
        <v>36505735.4099442</v>
      </c>
      <c r="I26" s="14" t="n">
        <f aca="false">$B$19</f>
        <v>45896467.8939549</v>
      </c>
      <c r="J26" s="14" t="n">
        <f aca="false">ROUND(F26-H26,2)</f>
        <v>150576156.31</v>
      </c>
    </row>
    <row r="27" customFormat="false" ht="15" hidden="false" customHeight="false" outlineLevel="0" collapsed="false">
      <c r="E27" s="13" t="n">
        <v>23</v>
      </c>
      <c r="F27" s="14" t="n">
        <f aca="false">J26</f>
        <v>150576156.31</v>
      </c>
      <c r="G27" s="14" t="n">
        <f aca="false">F27*$B$14</f>
        <v>7558296.47315147</v>
      </c>
      <c r="H27" s="14" t="n">
        <f aca="false">I27-G27</f>
        <v>38338171.4208034</v>
      </c>
      <c r="I27" s="14" t="n">
        <f aca="false">$B$19</f>
        <v>45896467.8939549</v>
      </c>
      <c r="J27" s="14" t="n">
        <f aca="false">ROUND(F27-H27,2)</f>
        <v>112237984.89</v>
      </c>
    </row>
    <row r="28" customFormat="false" ht="15" hidden="false" customHeight="false" outlineLevel="0" collapsed="false">
      <c r="E28" s="13" t="n">
        <v>24</v>
      </c>
      <c r="F28" s="14" t="n">
        <f aca="false">J27</f>
        <v>112237984.89</v>
      </c>
      <c r="G28" s="14" t="n">
        <f aca="false">F28*$B$14</f>
        <v>5633879.79967567</v>
      </c>
      <c r="H28" s="14" t="n">
        <f aca="false">I28-G28</f>
        <v>40262588.0942792</v>
      </c>
      <c r="I28" s="14" t="n">
        <f aca="false">$B$19</f>
        <v>45896467.8939549</v>
      </c>
      <c r="J28" s="14" t="n">
        <f aca="false">ROUND(F28-H28,2)</f>
        <v>71975396.8</v>
      </c>
    </row>
    <row r="29" customFormat="false" ht="15" hidden="false" customHeight="false" outlineLevel="0" collapsed="false">
      <c r="E29" s="8" t="s">
        <v>179</v>
      </c>
      <c r="F29" s="14" t="n">
        <f aca="false">J28</f>
        <v>71975396.8</v>
      </c>
      <c r="G29" s="14" t="n">
        <v>0</v>
      </c>
      <c r="H29" s="14" t="n">
        <f aca="false">F29</f>
        <v>71975396.8</v>
      </c>
      <c r="I29" s="14" t="n">
        <f aca="false">$B$15</f>
        <v>71975396.79</v>
      </c>
      <c r="J29" s="14" t="n">
        <f aca="false">ROUND(F29-H29,2)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J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7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10" min="9" style="0" width="18"/>
  </cols>
  <sheetData>
    <row r="1" customFormat="false" ht="16.15" hidden="false" customHeight="false" outlineLevel="0" collapsed="false">
      <c r="A1" s="10" t="s">
        <v>180</v>
      </c>
    </row>
    <row r="2" customFormat="false" ht="15" hidden="false" customHeight="false" outlineLevel="0" collapsed="false">
      <c r="A2" s="2" t="s">
        <v>181</v>
      </c>
    </row>
    <row r="4" customFormat="false" ht="23.85" hidden="false" customHeight="false" outlineLevel="0" collapsed="false">
      <c r="A4" s="7" t="s">
        <v>123</v>
      </c>
      <c r="E4" s="3" t="s">
        <v>124</v>
      </c>
      <c r="F4" s="3" t="s">
        <v>125</v>
      </c>
      <c r="G4" s="3" t="s">
        <v>126</v>
      </c>
      <c r="H4" s="3" t="s">
        <v>127</v>
      </c>
      <c r="I4" s="3" t="s">
        <v>128</v>
      </c>
      <c r="J4" s="3" t="s">
        <v>129</v>
      </c>
    </row>
    <row r="5" customFormat="false" ht="15" hidden="false" customHeight="false" outlineLevel="0" collapsed="false">
      <c r="A5" s="11" t="s">
        <v>130</v>
      </c>
      <c r="B5" s="12" t="n">
        <v>1456214789</v>
      </c>
      <c r="E5" s="13" t="n">
        <v>1</v>
      </c>
      <c r="F5" s="14" t="n">
        <f aca="false">$B$5</f>
        <v>1456214789</v>
      </c>
      <c r="G5" s="14" t="n">
        <f aca="false">F5*$B$13</f>
        <v>115799900.408798</v>
      </c>
      <c r="H5" s="14" t="n">
        <f aca="false">IF(E5&lt;=$B$17,-G5,$B$19)</f>
        <v>-115799900.408798</v>
      </c>
      <c r="I5" s="14" t="n">
        <f aca="false">IF(E5&lt;=$B$17,0,$B$19+G5)</f>
        <v>0</v>
      </c>
      <c r="J5" s="14" t="n">
        <f aca="false">ROUND(F5-H5,2)</f>
        <v>1572014689.41</v>
      </c>
    </row>
    <row r="6" customFormat="false" ht="15" hidden="false" customHeight="false" outlineLevel="0" collapsed="false">
      <c r="A6" s="11" t="s">
        <v>182</v>
      </c>
      <c r="B6" s="15" t="n">
        <v>0.1511</v>
      </c>
      <c r="C6" s="16" t="s">
        <v>68</v>
      </c>
      <c r="E6" s="13" t="n">
        <v>2</v>
      </c>
      <c r="F6" s="14" t="n">
        <f aca="false">J5</f>
        <v>1572014689.41</v>
      </c>
      <c r="G6" s="14" t="n">
        <f aca="false">F6*$B$13</f>
        <v>125008443.706203</v>
      </c>
      <c r="H6" s="14" t="n">
        <f aca="false">IF(E6&lt;=$B$17,-G6,$B$19)</f>
        <v>-125008443.706203</v>
      </c>
      <c r="I6" s="14" t="n">
        <f aca="false">IF(E6&lt;=$B$17,0,$B$19+G6)</f>
        <v>0</v>
      </c>
      <c r="J6" s="14" t="n">
        <f aca="false">ROUND(F6-H6,2)</f>
        <v>1697023133.12</v>
      </c>
    </row>
    <row r="7" customFormat="false" ht="15" hidden="false" customHeight="false" outlineLevel="0" collapsed="false">
      <c r="A7" s="11" t="s">
        <v>183</v>
      </c>
      <c r="B7" s="17" t="n">
        <v>60</v>
      </c>
      <c r="C7" s="16" t="s">
        <v>184</v>
      </c>
      <c r="E7" s="13" t="n">
        <v>3</v>
      </c>
      <c r="F7" s="14" t="n">
        <f aca="false">J6</f>
        <v>1697023133.12</v>
      </c>
      <c r="G7" s="14" t="n">
        <f aca="false">F7*$B$13</f>
        <v>134949261.119421</v>
      </c>
      <c r="H7" s="14" t="n">
        <f aca="false">IF(E7&lt;=$B$17,-G7,$B$19)</f>
        <v>-134949261.119421</v>
      </c>
      <c r="I7" s="14" t="n">
        <f aca="false">IF(E7&lt;=$B$17,0,$B$19+G7)</f>
        <v>0</v>
      </c>
      <c r="J7" s="14" t="n">
        <f aca="false">ROUND(F7-H7,2)</f>
        <v>1831972394.24</v>
      </c>
    </row>
    <row r="8" customFormat="false" ht="15" hidden="false" customHeight="false" outlineLevel="0" collapsed="false">
      <c r="E8" s="13" t="n">
        <v>4</v>
      </c>
      <c r="F8" s="14" t="n">
        <f aca="false">J7</f>
        <v>1831972394.24</v>
      </c>
      <c r="G8" s="14" t="n">
        <f aca="false">F8*$B$13</f>
        <v>145680583.940739</v>
      </c>
      <c r="H8" s="14" t="n">
        <f aca="false">IF(E8&lt;=$B$17,-G8,$B$19)</f>
        <v>-145680583.940739</v>
      </c>
      <c r="I8" s="14" t="n">
        <f aca="false">IF(E8&lt;=$B$17,0,$B$19+G8)</f>
        <v>0</v>
      </c>
      <c r="J8" s="14" t="n">
        <f aca="false">ROUND(F8-H8,2)</f>
        <v>1977652978.18</v>
      </c>
    </row>
    <row r="9" customFormat="false" ht="15" hidden="false" customHeight="false" outlineLevel="0" collapsed="false">
      <c r="A9" s="7" t="s">
        <v>136</v>
      </c>
      <c r="E9" s="13" t="n">
        <v>5</v>
      </c>
      <c r="F9" s="14" t="n">
        <f aca="false">J8</f>
        <v>1977652978.18</v>
      </c>
      <c r="G9" s="14" t="n">
        <f aca="false">F9*$B$13</f>
        <v>157265274.083415</v>
      </c>
      <c r="H9" s="14" t="n">
        <f aca="false">IF(E9&lt;=$B$17,-G9,$B$19)</f>
        <v>-157265274.083415</v>
      </c>
      <c r="I9" s="14" t="n">
        <f aca="false">IF(E9&lt;=$B$17,0,$B$19+G9)</f>
        <v>0</v>
      </c>
      <c r="J9" s="14" t="n">
        <f aca="false">ROUND(F9-H9,2)</f>
        <v>2134918252.26</v>
      </c>
    </row>
    <row r="10" customFormat="false" ht="15" hidden="false" customHeight="false" outlineLevel="0" collapsed="false">
      <c r="A10" s="11" t="s">
        <v>185</v>
      </c>
      <c r="B10" s="18" t="n">
        <f aca="false">$B$6/6</f>
        <v>0.0251833333333333</v>
      </c>
      <c r="E10" s="13" t="n">
        <v>6</v>
      </c>
      <c r="F10" s="14" t="n">
        <f aca="false">J9</f>
        <v>2134918252.26</v>
      </c>
      <c r="G10" s="14" t="n">
        <f aca="false">F10*$B$13</f>
        <v>169771192.313192</v>
      </c>
      <c r="H10" s="14" t="n">
        <f aca="false">IF(E10&lt;=$B$17,-G10,$B$19)</f>
        <v>-169771192.313192</v>
      </c>
      <c r="I10" s="14" t="n">
        <f aca="false">IF(E10&lt;=$B$17,0,$B$19+G10)</f>
        <v>0</v>
      </c>
      <c r="J10" s="14" t="n">
        <f aca="false">ROUND(F10-H10,2)</f>
        <v>2304689444.57</v>
      </c>
    </row>
    <row r="11" customFormat="false" ht="15" hidden="false" customHeight="false" outlineLevel="0" collapsed="false">
      <c r="A11" s="11" t="s">
        <v>159</v>
      </c>
      <c r="B11" s="18" t="n">
        <f aca="false">$B$10/(1-$B$10)</f>
        <v>0.0258339174887586</v>
      </c>
      <c r="E11" s="13" t="n">
        <v>7</v>
      </c>
      <c r="F11" s="14" t="n">
        <f aca="false">J10</f>
        <v>2304689444.57</v>
      </c>
      <c r="G11" s="14" t="n">
        <f aca="false">F11*$B$13</f>
        <v>183271595.763484</v>
      </c>
      <c r="H11" s="14" t="n">
        <f aca="false">IF(E11&lt;=$B$17,-G11,$B$19)</f>
        <v>96028726.8570872</v>
      </c>
      <c r="I11" s="14" t="n">
        <f aca="false">IF(E11&lt;=$B$17,0,$B$19+G11)</f>
        <v>279300322.620571</v>
      </c>
      <c r="J11" s="14" t="n">
        <f aca="false">ROUND(F11-H11,2)</f>
        <v>2208660717.71</v>
      </c>
    </row>
    <row r="12" customFormat="false" ht="15" hidden="false" customHeight="false" outlineLevel="0" collapsed="false">
      <c r="A12" s="11" t="s">
        <v>158</v>
      </c>
      <c r="B12" s="18" t="n">
        <f aca="false">(1+$B$11)^6-1</f>
        <v>0.165365951461234</v>
      </c>
      <c r="E12" s="13" t="n">
        <v>8</v>
      </c>
      <c r="F12" s="14" t="n">
        <f aca="false">J11</f>
        <v>2208660717.71</v>
      </c>
      <c r="G12" s="14" t="n">
        <f aca="false">F12*$B$13</f>
        <v>175635279.273107</v>
      </c>
      <c r="H12" s="14" t="n">
        <f aca="false">IF(E12&lt;=$B$17,-G12,$B$19)</f>
        <v>96028726.8570872</v>
      </c>
      <c r="I12" s="14" t="n">
        <f aca="false">IF(E12&lt;=$B$17,0,$B$19+G12)</f>
        <v>271664006.130194</v>
      </c>
      <c r="J12" s="14" t="n">
        <f aca="false">ROUND(F12-H12,2)</f>
        <v>2112631990.85</v>
      </c>
    </row>
    <row r="13" customFormat="false" ht="15" hidden="false" customHeight="false" outlineLevel="0" collapsed="false">
      <c r="A13" s="11" t="s">
        <v>186</v>
      </c>
      <c r="B13" s="19" t="n">
        <f aca="false">(1+$B$11)^3-1</f>
        <v>0.0795211676763148</v>
      </c>
      <c r="C13" s="16" t="s">
        <v>187</v>
      </c>
      <c r="E13" s="13" t="n">
        <v>9</v>
      </c>
      <c r="F13" s="14" t="n">
        <f aca="false">J12</f>
        <v>2112631990.85</v>
      </c>
      <c r="G13" s="14" t="n">
        <f aca="false">F13*$B$13</f>
        <v>167998962.78273</v>
      </c>
      <c r="H13" s="14" t="n">
        <f aca="false">IF(E13&lt;=$B$17,-G13,$B$19)</f>
        <v>96028726.8570872</v>
      </c>
      <c r="I13" s="14" t="n">
        <f aca="false">IF(E13&lt;=$B$17,0,$B$19+G13)</f>
        <v>264027689.639817</v>
      </c>
      <c r="J13" s="14" t="n">
        <f aca="false">ROUND(F13-H13,2)</f>
        <v>2016603263.99</v>
      </c>
    </row>
    <row r="14" customFormat="false" ht="15" hidden="false" customHeight="false" outlineLevel="0" collapsed="false">
      <c r="A14" s="11" t="s">
        <v>188</v>
      </c>
      <c r="B14" s="20" t="n">
        <f aca="false">$B$7/2</f>
        <v>30</v>
      </c>
      <c r="E14" s="13" t="n">
        <v>10</v>
      </c>
      <c r="F14" s="14" t="n">
        <f aca="false">J13</f>
        <v>2016603263.99</v>
      </c>
      <c r="G14" s="14" t="n">
        <f aca="false">F14*$B$13</f>
        <v>160362646.292352</v>
      </c>
      <c r="H14" s="14" t="n">
        <f aca="false">IF(E14&lt;=$B$17,-G14,$B$19)</f>
        <v>96028726.8570872</v>
      </c>
      <c r="I14" s="14" t="n">
        <f aca="false">IF(E14&lt;=$B$17,0,$B$19+G14)</f>
        <v>256391373.14944</v>
      </c>
      <c r="J14" s="14" t="n">
        <f aca="false">ROUND(F14-H14,2)</f>
        <v>1920574537.13</v>
      </c>
    </row>
    <row r="15" customFormat="false" ht="15" hidden="false" customHeight="false" outlineLevel="0" collapsed="false">
      <c r="E15" s="13" t="n">
        <v>11</v>
      </c>
      <c r="F15" s="14" t="n">
        <f aca="false">J14</f>
        <v>1920574537.13</v>
      </c>
      <c r="G15" s="14" t="n">
        <f aca="false">F15*$B$13</f>
        <v>152726329.801975</v>
      </c>
      <c r="H15" s="14" t="n">
        <f aca="false">IF(E15&lt;=$B$17,-G15,$B$19)</f>
        <v>96028726.8570872</v>
      </c>
      <c r="I15" s="14" t="n">
        <f aca="false">IF(E15&lt;=$B$17,0,$B$19+G15)</f>
        <v>248755056.659063</v>
      </c>
      <c r="J15" s="14" t="n">
        <f aca="false">ROUND(F15-H15,2)</f>
        <v>1824545810.27</v>
      </c>
    </row>
    <row r="16" customFormat="false" ht="15" hidden="false" customHeight="false" outlineLevel="0" collapsed="false">
      <c r="A16" s="7" t="s">
        <v>128</v>
      </c>
      <c r="E16" s="13" t="n">
        <v>12</v>
      </c>
      <c r="F16" s="14" t="n">
        <f aca="false">J15</f>
        <v>1824545810.27</v>
      </c>
      <c r="G16" s="14" t="n">
        <f aca="false">F16*$B$13</f>
        <v>145090013.311598</v>
      </c>
      <c r="H16" s="14" t="n">
        <f aca="false">IF(E16&lt;=$B$17,-G16,$B$19)</f>
        <v>96028726.8570872</v>
      </c>
      <c r="I16" s="14" t="n">
        <f aca="false">IF(E16&lt;=$B$17,0,$B$19+G16)</f>
        <v>241118740.168686</v>
      </c>
      <c r="J16" s="14" t="n">
        <f aca="false">ROUND(F16-H16,2)</f>
        <v>1728517083.41</v>
      </c>
    </row>
    <row r="17" customFormat="false" ht="15" hidden="false" customHeight="false" outlineLevel="0" collapsed="false">
      <c r="A17" s="11" t="s">
        <v>189</v>
      </c>
      <c r="B17" s="17" t="n">
        <v>6</v>
      </c>
      <c r="E17" s="13" t="n">
        <v>13</v>
      </c>
      <c r="F17" s="14" t="n">
        <f aca="false">J16</f>
        <v>1728517083.41</v>
      </c>
      <c r="G17" s="14" t="n">
        <f aca="false">F17*$B$13</f>
        <v>137453696.821221</v>
      </c>
      <c r="H17" s="14" t="n">
        <f aca="false">IF(E17&lt;=$B$17,-G17,$B$19)</f>
        <v>96028726.8570872</v>
      </c>
      <c r="I17" s="14" t="n">
        <f aca="false">IF(E17&lt;=$B$17,0,$B$19+G17)</f>
        <v>233482423.678308</v>
      </c>
      <c r="J17" s="14" t="n">
        <f aca="false">ROUND(F17-H17,2)</f>
        <v>1632488356.55</v>
      </c>
    </row>
    <row r="18" customFormat="false" ht="15" hidden="false" customHeight="false" outlineLevel="0" collapsed="false">
      <c r="A18" s="11" t="s">
        <v>190</v>
      </c>
      <c r="B18" s="22" t="n">
        <f aca="false">$B$5*(1+$B$13)^$B$17</f>
        <v>2304689444.57009</v>
      </c>
      <c r="E18" s="13" t="n">
        <v>14</v>
      </c>
      <c r="F18" s="14" t="n">
        <f aca="false">J17</f>
        <v>1632488356.55</v>
      </c>
      <c r="G18" s="14" t="n">
        <f aca="false">F18*$B$13</f>
        <v>129817380.330844</v>
      </c>
      <c r="H18" s="14" t="n">
        <f aca="false">IF(E18&lt;=$B$17,-G18,$B$19)</f>
        <v>96028726.8570872</v>
      </c>
      <c r="I18" s="14" t="n">
        <f aca="false">IF(E18&lt;=$B$17,0,$B$19+G18)</f>
        <v>225846107.187931</v>
      </c>
      <c r="J18" s="14" t="n">
        <f aca="false">ROUND(F18-H18,2)</f>
        <v>1536459629.69</v>
      </c>
    </row>
    <row r="19" customFormat="false" ht="15" hidden="false" customHeight="false" outlineLevel="0" collapsed="false">
      <c r="A19" s="11" t="s">
        <v>21</v>
      </c>
      <c r="B19" s="21" t="n">
        <f aca="false">$B$18/($B$14-$B$17)</f>
        <v>96028726.8570872</v>
      </c>
      <c r="E19" s="13" t="n">
        <v>15</v>
      </c>
      <c r="F19" s="14" t="n">
        <f aca="false">J18</f>
        <v>1536459629.69</v>
      </c>
      <c r="G19" s="14" t="n">
        <f aca="false">F19*$B$13</f>
        <v>122181063.840467</v>
      </c>
      <c r="H19" s="14" t="n">
        <f aca="false">IF(E19&lt;=$B$17,-G19,$B$19)</f>
        <v>96028726.8570872</v>
      </c>
      <c r="I19" s="14" t="n">
        <f aca="false">IF(E19&lt;=$B$17,0,$B$19+G19)</f>
        <v>218209790.697554</v>
      </c>
      <c r="J19" s="14" t="n">
        <f aca="false">ROUND(F19-H19,2)</f>
        <v>1440430902.83</v>
      </c>
    </row>
    <row r="20" customFormat="false" ht="15" hidden="false" customHeight="false" outlineLevel="0" collapsed="false">
      <c r="E20" s="13" t="n">
        <v>16</v>
      </c>
      <c r="F20" s="14" t="n">
        <f aca="false">J19</f>
        <v>1440430902.83</v>
      </c>
      <c r="G20" s="14" t="n">
        <f aca="false">F20*$B$13</f>
        <v>114544747.35009</v>
      </c>
      <c r="H20" s="14" t="n">
        <f aca="false">IF(E20&lt;=$B$17,-G20,$B$19)</f>
        <v>96028726.8570872</v>
      </c>
      <c r="I20" s="14" t="n">
        <f aca="false">IF(E20&lt;=$B$17,0,$B$19+G20)</f>
        <v>210573474.207177</v>
      </c>
      <c r="J20" s="14" t="n">
        <f aca="false">ROUND(F20-H20,2)</f>
        <v>1344402175.97</v>
      </c>
    </row>
    <row r="21" customFormat="false" ht="15" hidden="false" customHeight="false" outlineLevel="0" collapsed="false">
      <c r="A21" s="7" t="s">
        <v>143</v>
      </c>
      <c r="E21" s="13" t="n">
        <v>17</v>
      </c>
      <c r="F21" s="14" t="n">
        <f aca="false">J20</f>
        <v>1344402175.97</v>
      </c>
      <c r="G21" s="14" t="n">
        <f aca="false">F21*$B$13</f>
        <v>106908430.859713</v>
      </c>
      <c r="H21" s="14" t="n">
        <f aca="false">IF(E21&lt;=$B$17,-G21,$B$19)</f>
        <v>96028726.8570872</v>
      </c>
      <c r="I21" s="14" t="n">
        <f aca="false">IF(E21&lt;=$B$17,0,$B$19+G21)</f>
        <v>202937157.7168</v>
      </c>
      <c r="J21" s="14" t="n">
        <f aca="false">ROUND(F21-H21,2)</f>
        <v>1248373449.11</v>
      </c>
    </row>
    <row r="22" customFormat="false" ht="15" hidden="false" customHeight="false" outlineLevel="0" collapsed="false">
      <c r="A22" s="11" t="s">
        <v>144</v>
      </c>
      <c r="B22" s="22" t="n">
        <f aca="false">SUM(G5:G34)</f>
        <v>3139369602.5513</v>
      </c>
      <c r="E22" s="13" t="n">
        <v>18</v>
      </c>
      <c r="F22" s="14" t="n">
        <f aca="false">J21</f>
        <v>1248373449.11</v>
      </c>
      <c r="G22" s="14" t="n">
        <f aca="false">F22*$B$13</f>
        <v>99272114.3693357</v>
      </c>
      <c r="H22" s="14" t="n">
        <f aca="false">IF(E22&lt;=$B$17,-G22,$B$19)</f>
        <v>96028726.8570872</v>
      </c>
      <c r="I22" s="14" t="n">
        <f aca="false">IF(E22&lt;=$B$17,0,$B$19+G22)</f>
        <v>195300841.226423</v>
      </c>
      <c r="J22" s="14" t="n">
        <f aca="false">ROUND(F22-H22,2)</f>
        <v>1152344722.25</v>
      </c>
    </row>
    <row r="23" customFormat="false" ht="15" hidden="false" customHeight="false" outlineLevel="0" collapsed="false">
      <c r="A23" s="11" t="s">
        <v>145</v>
      </c>
      <c r="B23" s="14" t="n">
        <f aca="false">SUM(I5:I34)</f>
        <v>4595584391.54963</v>
      </c>
      <c r="E23" s="13" t="n">
        <v>19</v>
      </c>
      <c r="F23" s="14" t="n">
        <f aca="false">J22</f>
        <v>1152344722.25</v>
      </c>
      <c r="G23" s="14" t="n">
        <f aca="false">F23*$B$13</f>
        <v>91635797.8789586</v>
      </c>
      <c r="H23" s="14" t="n">
        <f aca="false">IF(E23&lt;=$B$17,-G23,$B$19)</f>
        <v>96028726.8570872</v>
      </c>
      <c r="I23" s="14" t="n">
        <f aca="false">IF(E23&lt;=$B$17,0,$B$19+G23)</f>
        <v>187664524.736046</v>
      </c>
      <c r="J23" s="14" t="n">
        <f aca="false">ROUND(F23-H23,2)</f>
        <v>1056315995.39</v>
      </c>
    </row>
    <row r="24" customFormat="false" ht="15" hidden="false" customHeight="false" outlineLevel="0" collapsed="false">
      <c r="A24" s="11" t="s">
        <v>146</v>
      </c>
      <c r="B24" s="23" t="n">
        <f aca="false">J34</f>
        <v>-0.07</v>
      </c>
      <c r="E24" s="13" t="n">
        <v>20</v>
      </c>
      <c r="F24" s="14" t="n">
        <f aca="false">J23</f>
        <v>1056315995.39</v>
      </c>
      <c r="G24" s="14" t="n">
        <f aca="false">F24*$B$13</f>
        <v>83999481.3885815</v>
      </c>
      <c r="H24" s="14" t="n">
        <f aca="false">IF(E24&lt;=$B$17,-G24,$B$19)</f>
        <v>96028726.8570872</v>
      </c>
      <c r="I24" s="14" t="n">
        <f aca="false">IF(E24&lt;=$B$17,0,$B$19+G24)</f>
        <v>180028208.245669</v>
      </c>
      <c r="J24" s="14" t="n">
        <f aca="false">ROUND(F24-H24,2)</f>
        <v>960287268.53</v>
      </c>
    </row>
    <row r="25" customFormat="false" ht="15" hidden="false" customHeight="false" outlineLevel="0" collapsed="false">
      <c r="A25" s="11" t="s">
        <v>147</v>
      </c>
      <c r="B25" s="14" t="n">
        <f aca="false">NPV($B$13,I5:I34)</f>
        <v>1456214788.98754</v>
      </c>
      <c r="E25" s="13" t="n">
        <v>21</v>
      </c>
      <c r="F25" s="14" t="n">
        <f aca="false">J24</f>
        <v>960287268.53</v>
      </c>
      <c r="G25" s="14" t="n">
        <f aca="false">F25*$B$13</f>
        <v>76363164.8982045</v>
      </c>
      <c r="H25" s="14" t="n">
        <f aca="false">IF(E25&lt;=$B$17,-G25,$B$19)</f>
        <v>96028726.8570872</v>
      </c>
      <c r="I25" s="14" t="n">
        <f aca="false">IF(E25&lt;=$B$17,0,$B$19+G25)</f>
        <v>172391891.755292</v>
      </c>
      <c r="J25" s="14" t="n">
        <f aca="false">ROUND(F25-H25,2)</f>
        <v>864258541.67</v>
      </c>
    </row>
    <row r="26" customFormat="false" ht="15" hidden="false" customHeight="false" outlineLevel="0" collapsed="false">
      <c r="A26" s="11" t="s">
        <v>148</v>
      </c>
      <c r="B26" s="24" t="str">
        <f aca="false">IF(AND(ABS(J34)&lt;1,ABS(B25-$B$5)&lt;1),"Tabla correcta","Revisar")</f>
        <v>Tabla correcta</v>
      </c>
      <c r="E26" s="13" t="n">
        <v>22</v>
      </c>
      <c r="F26" s="14" t="n">
        <f aca="false">J25</f>
        <v>864258541.67</v>
      </c>
      <c r="G26" s="14" t="n">
        <f aca="false">F26*$B$13</f>
        <v>68726848.4078274</v>
      </c>
      <c r="H26" s="14" t="n">
        <f aca="false">IF(E26&lt;=$B$17,-G26,$B$19)</f>
        <v>96028726.8570872</v>
      </c>
      <c r="I26" s="14" t="n">
        <f aca="false">IF(E26&lt;=$B$17,0,$B$19+G26)</f>
        <v>164755575.264915</v>
      </c>
      <c r="J26" s="14" t="n">
        <f aca="false">ROUND(F26-H26,2)</f>
        <v>768229814.81</v>
      </c>
    </row>
    <row r="27" customFormat="false" ht="15" hidden="false" customHeight="false" outlineLevel="0" collapsed="false">
      <c r="E27" s="13" t="n">
        <v>23</v>
      </c>
      <c r="F27" s="14" t="n">
        <f aca="false">J26</f>
        <v>768229814.81</v>
      </c>
      <c r="G27" s="14" t="n">
        <f aca="false">F27*$B$13</f>
        <v>61090531.9174503</v>
      </c>
      <c r="H27" s="14" t="n">
        <f aca="false">IF(E27&lt;=$B$17,-G27,$B$19)</f>
        <v>96028726.8570872</v>
      </c>
      <c r="I27" s="14" t="n">
        <f aca="false">IF(E27&lt;=$B$17,0,$B$19+G27)</f>
        <v>157119258.774537</v>
      </c>
      <c r="J27" s="14" t="n">
        <f aca="false">ROUND(F27-H27,2)</f>
        <v>672201087.95</v>
      </c>
    </row>
    <row r="28" customFormat="false" ht="15" hidden="false" customHeight="false" outlineLevel="0" collapsed="false">
      <c r="E28" s="13" t="n">
        <v>24</v>
      </c>
      <c r="F28" s="14" t="n">
        <f aca="false">J27</f>
        <v>672201087.95</v>
      </c>
      <c r="G28" s="14" t="n">
        <f aca="false">F28*$B$13</f>
        <v>53454215.4270732</v>
      </c>
      <c r="H28" s="14" t="n">
        <f aca="false">IF(E28&lt;=$B$17,-G28,$B$19)</f>
        <v>96028726.8570872</v>
      </c>
      <c r="I28" s="14" t="n">
        <f aca="false">IF(E28&lt;=$B$17,0,$B$19+G28)</f>
        <v>149482942.28416</v>
      </c>
      <c r="J28" s="14" t="n">
        <f aca="false">ROUND(F28-H28,2)</f>
        <v>576172361.09</v>
      </c>
    </row>
    <row r="29" customFormat="false" ht="15" hidden="false" customHeight="false" outlineLevel="0" collapsed="false">
      <c r="E29" s="13" t="n">
        <v>25</v>
      </c>
      <c r="F29" s="14" t="n">
        <f aca="false">J28</f>
        <v>576172361.09</v>
      </c>
      <c r="G29" s="14" t="n">
        <f aca="false">F29*$B$13</f>
        <v>45817898.9366961</v>
      </c>
      <c r="H29" s="14" t="n">
        <f aca="false">IF(E29&lt;=$B$17,-G29,$B$19)</f>
        <v>96028726.8570872</v>
      </c>
      <c r="I29" s="14" t="n">
        <f aca="false">IF(E29&lt;=$B$17,0,$B$19+G29)</f>
        <v>141846625.793783</v>
      </c>
      <c r="J29" s="14" t="n">
        <f aca="false">ROUND(F29-H29,2)</f>
        <v>480143634.23</v>
      </c>
    </row>
    <row r="30" customFormat="false" ht="15" hidden="false" customHeight="false" outlineLevel="0" collapsed="false">
      <c r="E30" s="13" t="n">
        <v>26</v>
      </c>
      <c r="F30" s="14" t="n">
        <f aca="false">J29</f>
        <v>480143634.23</v>
      </c>
      <c r="G30" s="14" t="n">
        <f aca="false">F30*$B$13</f>
        <v>38181582.446319</v>
      </c>
      <c r="H30" s="14" t="n">
        <f aca="false">IF(E30&lt;=$B$17,-G30,$B$19)</f>
        <v>96028726.8570872</v>
      </c>
      <c r="I30" s="14" t="n">
        <f aca="false">IF(E30&lt;=$B$17,0,$B$19+G30)</f>
        <v>134210309.303406</v>
      </c>
      <c r="J30" s="14" t="n">
        <f aca="false">ROUND(F30-H30,2)</f>
        <v>384114907.37</v>
      </c>
    </row>
    <row r="31" customFormat="false" ht="15" hidden="false" customHeight="false" outlineLevel="0" collapsed="false">
      <c r="E31" s="13" t="n">
        <v>27</v>
      </c>
      <c r="F31" s="14" t="n">
        <f aca="false">J30</f>
        <v>384114907.37</v>
      </c>
      <c r="G31" s="14" t="n">
        <f aca="false">F31*$B$13</f>
        <v>30545265.9559419</v>
      </c>
      <c r="H31" s="14" t="n">
        <f aca="false">IF(E31&lt;=$B$17,-G31,$B$19)</f>
        <v>96028726.8570872</v>
      </c>
      <c r="I31" s="14" t="n">
        <f aca="false">IF(E31&lt;=$B$17,0,$B$19+G31)</f>
        <v>126573992.813029</v>
      </c>
      <c r="J31" s="14" t="n">
        <f aca="false">ROUND(F31-H31,2)</f>
        <v>288086180.51</v>
      </c>
    </row>
    <row r="32" customFormat="false" ht="15" hidden="false" customHeight="false" outlineLevel="0" collapsed="false">
      <c r="E32" s="13" t="n">
        <v>28</v>
      </c>
      <c r="F32" s="14" t="n">
        <f aca="false">J31</f>
        <v>288086180.51</v>
      </c>
      <c r="G32" s="14" t="n">
        <f aca="false">F32*$B$13</f>
        <v>22908949.4655648</v>
      </c>
      <c r="H32" s="14" t="n">
        <f aca="false">IF(E32&lt;=$B$17,-G32,$B$19)</f>
        <v>96028726.8570872</v>
      </c>
      <c r="I32" s="14" t="n">
        <f aca="false">IF(E32&lt;=$B$17,0,$B$19+G32)</f>
        <v>118937676.322652</v>
      </c>
      <c r="J32" s="14" t="n">
        <f aca="false">ROUND(F32-H32,2)</f>
        <v>192057453.65</v>
      </c>
    </row>
    <row r="33" customFormat="false" ht="15" hidden="false" customHeight="false" outlineLevel="0" collapsed="false">
      <c r="E33" s="13" t="n">
        <v>29</v>
      </c>
      <c r="F33" s="14" t="n">
        <f aca="false">J32</f>
        <v>192057453.65</v>
      </c>
      <c r="G33" s="14" t="n">
        <f aca="false">F33*$B$13</f>
        <v>15272632.9751877</v>
      </c>
      <c r="H33" s="14" t="n">
        <f aca="false">IF(E33&lt;=$B$17,-G33,$B$19)</f>
        <v>96028726.8570872</v>
      </c>
      <c r="I33" s="14" t="n">
        <f aca="false">IF(E33&lt;=$B$17,0,$B$19+G33)</f>
        <v>111301359.832275</v>
      </c>
      <c r="J33" s="14" t="n">
        <f aca="false">ROUND(F33-H33,2)</f>
        <v>96028726.79</v>
      </c>
    </row>
    <row r="34" customFormat="false" ht="15" hidden="false" customHeight="false" outlineLevel="0" collapsed="false">
      <c r="E34" s="13" t="n">
        <v>30</v>
      </c>
      <c r="F34" s="14" t="n">
        <f aca="false">J33</f>
        <v>96028726.79</v>
      </c>
      <c r="G34" s="14" t="n">
        <f aca="false">F34*$B$13</f>
        <v>7636316.48481061</v>
      </c>
      <c r="H34" s="14" t="n">
        <f aca="false">IF(E34&lt;=$B$17,-G34,$B$19)</f>
        <v>96028726.8570872</v>
      </c>
      <c r="I34" s="14" t="n">
        <f aca="false">IF(E34&lt;=$B$17,0,$B$19+G34)</f>
        <v>103665043.341898</v>
      </c>
      <c r="J34" s="14" t="n">
        <f aca="false">ROUND(F34-H34,2)</f>
        <v>-0.07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7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10" min="9" style="0" width="18"/>
  </cols>
  <sheetData>
    <row r="1" customFormat="false" ht="16.15" hidden="false" customHeight="false" outlineLevel="0" collapsed="false">
      <c r="A1" s="10" t="s">
        <v>191</v>
      </c>
    </row>
    <row r="2" customFormat="false" ht="15" hidden="false" customHeight="false" outlineLevel="0" collapsed="false">
      <c r="A2" s="2" t="s">
        <v>192</v>
      </c>
    </row>
    <row r="4" customFormat="false" ht="23.85" hidden="false" customHeight="false" outlineLevel="0" collapsed="false">
      <c r="A4" s="7" t="s">
        <v>123</v>
      </c>
      <c r="E4" s="3" t="s">
        <v>124</v>
      </c>
      <c r="F4" s="3" t="s">
        <v>125</v>
      </c>
      <c r="G4" s="3" t="s">
        <v>126</v>
      </c>
      <c r="H4" s="3" t="s">
        <v>127</v>
      </c>
      <c r="I4" s="3" t="s">
        <v>128</v>
      </c>
      <c r="J4" s="3" t="s">
        <v>129</v>
      </c>
    </row>
    <row r="5" customFormat="false" ht="15" hidden="false" customHeight="false" outlineLevel="0" collapsed="false">
      <c r="A5" s="11" t="s">
        <v>130</v>
      </c>
      <c r="B5" s="12" t="n">
        <v>980000000</v>
      </c>
      <c r="E5" s="13" t="n">
        <v>1</v>
      </c>
      <c r="F5" s="14" t="n">
        <f aca="false">$B$5</f>
        <v>980000000</v>
      </c>
      <c r="G5" s="14" t="n">
        <f aca="false">F5*$B$11</f>
        <v>34073865.8395235</v>
      </c>
      <c r="H5" s="14" t="n">
        <f aca="false">IF(E5&lt;=$B$15,0,$B$17)</f>
        <v>0</v>
      </c>
      <c r="I5" s="14" t="n">
        <f aca="false">IF(E5&lt;=$B$15,G5,$B$17+G5)</f>
        <v>34073865.8395235</v>
      </c>
      <c r="J5" s="14" t="n">
        <f aca="false">ROUND(F5-H5,2)</f>
        <v>980000000</v>
      </c>
    </row>
    <row r="6" customFormat="false" ht="15" hidden="false" customHeight="false" outlineLevel="0" collapsed="false">
      <c r="A6" s="11" t="s">
        <v>193</v>
      </c>
      <c r="B6" s="15" t="n">
        <v>0.1465</v>
      </c>
      <c r="C6" s="16" t="s">
        <v>194</v>
      </c>
      <c r="E6" s="13" t="n">
        <v>2</v>
      </c>
      <c r="F6" s="14" t="n">
        <f aca="false">J5</f>
        <v>980000000</v>
      </c>
      <c r="G6" s="14" t="n">
        <f aca="false">F6*$B$11</f>
        <v>34073865.8395235</v>
      </c>
      <c r="H6" s="14" t="n">
        <f aca="false">IF(E6&lt;=$B$15,0,$B$17)</f>
        <v>0</v>
      </c>
      <c r="I6" s="14" t="n">
        <f aca="false">IF(E6&lt;=$B$15,G6,$B$17+G6)</f>
        <v>34073865.8395235</v>
      </c>
      <c r="J6" s="14" t="n">
        <f aca="false">ROUND(F6-H6,2)</f>
        <v>980000000</v>
      </c>
    </row>
    <row r="7" customFormat="false" ht="15" hidden="false" customHeight="false" outlineLevel="0" collapsed="false">
      <c r="A7" s="11" t="s">
        <v>135</v>
      </c>
      <c r="B7" s="17" t="n">
        <v>96</v>
      </c>
      <c r="E7" s="13" t="n">
        <v>3</v>
      </c>
      <c r="F7" s="14" t="n">
        <f aca="false">J6</f>
        <v>980000000</v>
      </c>
      <c r="G7" s="14" t="n">
        <f aca="false">F7*$B$11</f>
        <v>34073865.8395235</v>
      </c>
      <c r="H7" s="14" t="n">
        <f aca="false">IF(E7&lt;=$B$15,0,$B$17)</f>
        <v>0</v>
      </c>
      <c r="I7" s="14" t="n">
        <f aca="false">IF(E7&lt;=$B$15,G7,$B$17+G7)</f>
        <v>34073865.8395235</v>
      </c>
      <c r="J7" s="14" t="n">
        <f aca="false">ROUND(F7-H7,2)</f>
        <v>980000000</v>
      </c>
    </row>
    <row r="8" customFormat="false" ht="15" hidden="false" customHeight="false" outlineLevel="0" collapsed="false">
      <c r="A8" s="25" t="s">
        <v>195</v>
      </c>
      <c r="B8" s="26" t="n">
        <v>0.3965</v>
      </c>
      <c r="C8" s="16" t="s">
        <v>154</v>
      </c>
      <c r="E8" s="13" t="n">
        <v>4</v>
      </c>
      <c r="F8" s="14" t="n">
        <f aca="false">J7</f>
        <v>980000000</v>
      </c>
      <c r="G8" s="14" t="n">
        <f aca="false">F8*$B$11</f>
        <v>34073865.8395235</v>
      </c>
      <c r="H8" s="14" t="n">
        <f aca="false">IF(E8&lt;=$B$15,0,$B$17)</f>
        <v>0</v>
      </c>
      <c r="I8" s="14" t="n">
        <f aca="false">IF(E8&lt;=$B$15,G8,$B$17+G8)</f>
        <v>34073865.8395235</v>
      </c>
      <c r="J8" s="14" t="n">
        <f aca="false">ROUND(F8-H8,2)</f>
        <v>980000000</v>
      </c>
    </row>
    <row r="9" customFormat="false" ht="15" hidden="false" customHeight="false" outlineLevel="0" collapsed="false">
      <c r="E9" s="13" t="n">
        <v>5</v>
      </c>
      <c r="F9" s="14" t="n">
        <f aca="false">J8</f>
        <v>980000000</v>
      </c>
      <c r="G9" s="14" t="n">
        <f aca="false">F9*$B$11</f>
        <v>34073865.8395235</v>
      </c>
      <c r="H9" s="14" t="n">
        <f aca="false">IF(E9&lt;=$B$15,0,$B$17)</f>
        <v>0</v>
      </c>
      <c r="I9" s="14" t="n">
        <f aca="false">IF(E9&lt;=$B$15,G9,$B$17+G9)</f>
        <v>34073865.8395235</v>
      </c>
      <c r="J9" s="14" t="n">
        <f aca="false">ROUND(F9-H9,2)</f>
        <v>980000000</v>
      </c>
    </row>
    <row r="10" customFormat="false" ht="15" hidden="false" customHeight="false" outlineLevel="0" collapsed="false">
      <c r="A10" s="7" t="s">
        <v>136</v>
      </c>
      <c r="E10" s="13" t="n">
        <v>6</v>
      </c>
      <c r="F10" s="14" t="n">
        <f aca="false">J9</f>
        <v>980000000</v>
      </c>
      <c r="G10" s="14" t="n">
        <f aca="false">F10*$B$11</f>
        <v>34073865.8395235</v>
      </c>
      <c r="H10" s="14" t="n">
        <f aca="false">IF(E10&lt;=$B$15,0,$B$17)</f>
        <v>36296296.2962963</v>
      </c>
      <c r="I10" s="14" t="n">
        <f aca="false">IF(E10&lt;=$B$15,G10,$B$17+G10)</f>
        <v>70370162.1358198</v>
      </c>
      <c r="J10" s="14" t="n">
        <f aca="false">ROUND(F10-H10,2)</f>
        <v>943703703.7</v>
      </c>
    </row>
    <row r="11" customFormat="false" ht="15" hidden="false" customHeight="false" outlineLevel="0" collapsed="false">
      <c r="A11" s="11" t="s">
        <v>156</v>
      </c>
      <c r="B11" s="19" t="n">
        <f aca="false">(1+$B$6)^(1/4)-1</f>
        <v>0.0347692508566566</v>
      </c>
      <c r="E11" s="13" t="n">
        <v>7</v>
      </c>
      <c r="F11" s="14" t="n">
        <f aca="false">J10</f>
        <v>943703703.7</v>
      </c>
      <c r="G11" s="14" t="n">
        <f aca="false">F11*$B$11</f>
        <v>32811870.8083012</v>
      </c>
      <c r="H11" s="14" t="n">
        <f aca="false">IF(E11&lt;=$B$15,0,$B$17)</f>
        <v>36296296.2962963</v>
      </c>
      <c r="I11" s="14" t="n">
        <f aca="false">IF(E11&lt;=$B$15,G11,$B$17+G11)</f>
        <v>69108167.1045975</v>
      </c>
      <c r="J11" s="14" t="n">
        <f aca="false">ROUND(F11-H11,2)</f>
        <v>907407407.4</v>
      </c>
    </row>
    <row r="12" customFormat="false" ht="15" hidden="false" customHeight="false" outlineLevel="0" collapsed="false">
      <c r="A12" s="11" t="s">
        <v>196</v>
      </c>
      <c r="B12" s="20" t="n">
        <f aca="false">$B$7/3</f>
        <v>32</v>
      </c>
      <c r="E12" s="13" t="n">
        <v>8</v>
      </c>
      <c r="F12" s="14" t="n">
        <f aca="false">J11</f>
        <v>907407407.4</v>
      </c>
      <c r="G12" s="14" t="n">
        <f aca="false">F12*$B$11</f>
        <v>31549875.777079</v>
      </c>
      <c r="H12" s="14" t="n">
        <f aca="false">IF(E12&lt;=$B$15,0,$B$17)</f>
        <v>36296296.2962963</v>
      </c>
      <c r="I12" s="14" t="n">
        <f aca="false">IF(E12&lt;=$B$15,G12,$B$17+G12)</f>
        <v>67846172.0733753</v>
      </c>
      <c r="J12" s="14" t="n">
        <f aca="false">ROUND(F12-H12,2)</f>
        <v>871111111.1</v>
      </c>
    </row>
    <row r="13" customFormat="false" ht="15" hidden="false" customHeight="false" outlineLevel="0" collapsed="false">
      <c r="E13" s="13" t="n">
        <v>9</v>
      </c>
      <c r="F13" s="14" t="n">
        <f aca="false">J12</f>
        <v>871111111.1</v>
      </c>
      <c r="G13" s="14" t="n">
        <f aca="false">F13*$B$11</f>
        <v>30287880.7458568</v>
      </c>
      <c r="H13" s="14" t="n">
        <f aca="false">IF(E13&lt;=$B$15,0,$B$17)</f>
        <v>36296296.2962963</v>
      </c>
      <c r="I13" s="14" t="n">
        <f aca="false">IF(E13&lt;=$B$15,G13,$B$17+G13)</f>
        <v>66584177.0421531</v>
      </c>
      <c r="J13" s="14" t="n">
        <f aca="false">ROUND(F13-H13,2)</f>
        <v>834814814.8</v>
      </c>
    </row>
    <row r="14" customFormat="false" ht="15" hidden="false" customHeight="false" outlineLevel="0" collapsed="false">
      <c r="A14" s="7" t="s">
        <v>128</v>
      </c>
      <c r="E14" s="13" t="n">
        <v>10</v>
      </c>
      <c r="F14" s="14" t="n">
        <f aca="false">J13</f>
        <v>834814814.8</v>
      </c>
      <c r="G14" s="14" t="n">
        <f aca="false">F14*$B$11</f>
        <v>29025885.7146345</v>
      </c>
      <c r="H14" s="14" t="n">
        <f aca="false">IF(E14&lt;=$B$15,0,$B$17)</f>
        <v>36296296.2962963</v>
      </c>
      <c r="I14" s="14" t="n">
        <f aca="false">IF(E14&lt;=$B$15,G14,$B$17+G14)</f>
        <v>65322182.0109308</v>
      </c>
      <c r="J14" s="14" t="n">
        <f aca="false">ROUND(F14-H14,2)</f>
        <v>798518518.5</v>
      </c>
    </row>
    <row r="15" customFormat="false" ht="15" hidden="false" customHeight="false" outlineLevel="0" collapsed="false">
      <c r="A15" s="11" t="s">
        <v>189</v>
      </c>
      <c r="B15" s="17" t="n">
        <v>5</v>
      </c>
      <c r="E15" s="13" t="n">
        <v>11</v>
      </c>
      <c r="F15" s="14" t="n">
        <f aca="false">J14</f>
        <v>798518518.5</v>
      </c>
      <c r="G15" s="14" t="n">
        <f aca="false">F15*$B$11</f>
        <v>27763890.6834123</v>
      </c>
      <c r="H15" s="14" t="n">
        <f aca="false">IF(E15&lt;=$B$15,0,$B$17)</f>
        <v>36296296.2962963</v>
      </c>
      <c r="I15" s="14" t="n">
        <f aca="false">IF(E15&lt;=$B$15,G15,$B$17+G15)</f>
        <v>64060186.9797086</v>
      </c>
      <c r="J15" s="14" t="n">
        <f aca="false">ROUND(F15-H15,2)</f>
        <v>762222222.2</v>
      </c>
    </row>
    <row r="16" customFormat="false" ht="15" hidden="false" customHeight="false" outlineLevel="0" collapsed="false">
      <c r="A16" s="11" t="s">
        <v>197</v>
      </c>
      <c r="B16" s="14" t="n">
        <f aca="false">$B$5*$B$11</f>
        <v>34073865.8395235</v>
      </c>
      <c r="E16" s="13" t="n">
        <v>12</v>
      </c>
      <c r="F16" s="14" t="n">
        <f aca="false">J15</f>
        <v>762222222.2</v>
      </c>
      <c r="G16" s="14" t="n">
        <f aca="false">F16*$B$11</f>
        <v>26501895.6521901</v>
      </c>
      <c r="H16" s="14" t="n">
        <f aca="false">IF(E16&lt;=$B$15,0,$B$17)</f>
        <v>36296296.2962963</v>
      </c>
      <c r="I16" s="14" t="n">
        <f aca="false">IF(E16&lt;=$B$15,G16,$B$17+G16)</f>
        <v>62798191.9484864</v>
      </c>
      <c r="J16" s="14" t="n">
        <f aca="false">ROUND(F16-H16,2)</f>
        <v>725925925.9</v>
      </c>
    </row>
    <row r="17" customFormat="false" ht="15" hidden="false" customHeight="false" outlineLevel="0" collapsed="false">
      <c r="A17" s="11" t="s">
        <v>21</v>
      </c>
      <c r="B17" s="21" t="n">
        <f aca="false">$B$5/($B$12-$B$15)</f>
        <v>36296296.2962963</v>
      </c>
      <c r="E17" s="13" t="n">
        <v>13</v>
      </c>
      <c r="F17" s="14" t="n">
        <f aca="false">J16</f>
        <v>725925925.9</v>
      </c>
      <c r="G17" s="14" t="n">
        <f aca="false">F17*$B$11</f>
        <v>25239900.6209678</v>
      </c>
      <c r="H17" s="14" t="n">
        <f aca="false">IF(E17&lt;=$B$15,0,$B$17)</f>
        <v>36296296.2962963</v>
      </c>
      <c r="I17" s="14" t="n">
        <f aca="false">IF(E17&lt;=$B$15,G17,$B$17+G17)</f>
        <v>61536196.9172641</v>
      </c>
      <c r="J17" s="14" t="n">
        <f aca="false">ROUND(F17-H17,2)</f>
        <v>689629629.6</v>
      </c>
    </row>
    <row r="18" customFormat="false" ht="15" hidden="false" customHeight="false" outlineLevel="0" collapsed="false">
      <c r="E18" s="13" t="n">
        <v>14</v>
      </c>
      <c r="F18" s="14" t="n">
        <f aca="false">J17</f>
        <v>689629629.6</v>
      </c>
      <c r="G18" s="14" t="n">
        <f aca="false">F18*$B$11</f>
        <v>23977905.5897456</v>
      </c>
      <c r="H18" s="14" t="n">
        <f aca="false">IF(E18&lt;=$B$15,0,$B$17)</f>
        <v>36296296.2962963</v>
      </c>
      <c r="I18" s="14" t="n">
        <f aca="false">IF(E18&lt;=$B$15,G18,$B$17+G18)</f>
        <v>60274201.8860419</v>
      </c>
      <c r="J18" s="14" t="n">
        <f aca="false">ROUND(F18-H18,2)</f>
        <v>653333333.3</v>
      </c>
    </row>
    <row r="19" customFormat="false" ht="15" hidden="false" customHeight="false" outlineLevel="0" collapsed="false">
      <c r="A19" s="7" t="s">
        <v>143</v>
      </c>
      <c r="E19" s="13" t="n">
        <v>15</v>
      </c>
      <c r="F19" s="14" t="n">
        <f aca="false">J18</f>
        <v>653333333.3</v>
      </c>
      <c r="G19" s="14" t="n">
        <f aca="false">F19*$B$11</f>
        <v>22715910.5585233</v>
      </c>
      <c r="H19" s="14" t="n">
        <f aca="false">IF(E19&lt;=$B$15,0,$B$17)</f>
        <v>36296296.2962963</v>
      </c>
      <c r="I19" s="14" t="n">
        <f aca="false">IF(E19&lt;=$B$15,G19,$B$17+G19)</f>
        <v>59012206.8548196</v>
      </c>
      <c r="J19" s="14" t="n">
        <f aca="false">ROUND(F19-H19,2)</f>
        <v>617037037</v>
      </c>
    </row>
    <row r="20" customFormat="false" ht="15" hidden="false" customHeight="false" outlineLevel="0" collapsed="false">
      <c r="A20" s="11" t="s">
        <v>144</v>
      </c>
      <c r="B20" s="22" t="n">
        <f aca="false">SUM(G5:G36)</f>
        <v>647403450.905746</v>
      </c>
      <c r="E20" s="13" t="n">
        <v>16</v>
      </c>
      <c r="F20" s="14" t="n">
        <f aca="false">J19</f>
        <v>617037037</v>
      </c>
      <c r="G20" s="14" t="n">
        <f aca="false">F20*$B$11</f>
        <v>21453915.5273011</v>
      </c>
      <c r="H20" s="14" t="n">
        <f aca="false">IF(E20&lt;=$B$15,0,$B$17)</f>
        <v>36296296.2962963</v>
      </c>
      <c r="I20" s="14" t="n">
        <f aca="false">IF(E20&lt;=$B$15,G20,$B$17+G20)</f>
        <v>57750211.8235974</v>
      </c>
      <c r="J20" s="14" t="n">
        <f aca="false">ROUND(F20-H20,2)</f>
        <v>580740740.7</v>
      </c>
    </row>
    <row r="21" customFormat="false" ht="15" hidden="false" customHeight="false" outlineLevel="0" collapsed="false">
      <c r="A21" s="11" t="s">
        <v>145</v>
      </c>
      <c r="B21" s="14" t="n">
        <f aca="false">SUM(I5:I36)</f>
        <v>1627403450.90575</v>
      </c>
      <c r="E21" s="13" t="n">
        <v>17</v>
      </c>
      <c r="F21" s="14" t="n">
        <f aca="false">J20</f>
        <v>580740740.7</v>
      </c>
      <c r="G21" s="14" t="n">
        <f aca="false">F21*$B$11</f>
        <v>20191920.4960789</v>
      </c>
      <c r="H21" s="14" t="n">
        <f aca="false">IF(E21&lt;=$B$15,0,$B$17)</f>
        <v>36296296.2962963</v>
      </c>
      <c r="I21" s="14" t="n">
        <f aca="false">IF(E21&lt;=$B$15,G21,$B$17+G21)</f>
        <v>56488216.7923752</v>
      </c>
      <c r="J21" s="14" t="n">
        <f aca="false">ROUND(F21-H21,2)</f>
        <v>544444444.4</v>
      </c>
    </row>
    <row r="22" customFormat="false" ht="15" hidden="false" customHeight="false" outlineLevel="0" collapsed="false">
      <c r="A22" s="11" t="s">
        <v>146</v>
      </c>
      <c r="B22" s="23" t="n">
        <f aca="false">J36</f>
        <v>-0.1</v>
      </c>
      <c r="E22" s="13" t="n">
        <v>18</v>
      </c>
      <c r="F22" s="14" t="n">
        <f aca="false">J21</f>
        <v>544444444.4</v>
      </c>
      <c r="G22" s="14" t="n">
        <f aca="false">F22*$B$11</f>
        <v>18929925.4648566</v>
      </c>
      <c r="H22" s="14" t="n">
        <f aca="false">IF(E22&lt;=$B$15,0,$B$17)</f>
        <v>36296296.2962963</v>
      </c>
      <c r="I22" s="14" t="n">
        <f aca="false">IF(E22&lt;=$B$15,G22,$B$17+G22)</f>
        <v>55226221.7611529</v>
      </c>
      <c r="J22" s="14" t="n">
        <f aca="false">ROUND(F22-H22,2)</f>
        <v>508148148.1</v>
      </c>
    </row>
    <row r="23" customFormat="false" ht="15" hidden="false" customHeight="false" outlineLevel="0" collapsed="false">
      <c r="A23" s="11" t="s">
        <v>147</v>
      </c>
      <c r="B23" s="14" t="n">
        <f aca="false">NPV($B$11,I5:I36)</f>
        <v>979999999.97939</v>
      </c>
      <c r="E23" s="13" t="n">
        <v>19</v>
      </c>
      <c r="F23" s="14" t="n">
        <f aca="false">J22</f>
        <v>508148148.1</v>
      </c>
      <c r="G23" s="14" t="n">
        <f aca="false">F23*$B$11</f>
        <v>17667930.4336344</v>
      </c>
      <c r="H23" s="14" t="n">
        <f aca="false">IF(E23&lt;=$B$15,0,$B$17)</f>
        <v>36296296.2962963</v>
      </c>
      <c r="I23" s="14" t="n">
        <f aca="false">IF(E23&lt;=$B$15,G23,$B$17+G23)</f>
        <v>53964226.7299307</v>
      </c>
      <c r="J23" s="14" t="n">
        <f aca="false">ROUND(F23-H23,2)</f>
        <v>471851851.8</v>
      </c>
    </row>
    <row r="24" customFormat="false" ht="15" hidden="false" customHeight="false" outlineLevel="0" collapsed="false">
      <c r="A24" s="11" t="s">
        <v>148</v>
      </c>
      <c r="B24" s="24" t="str">
        <f aca="false">IF(AND(ABS(J36)&lt;1,ABS(B23-$B$5)&lt;1),"Tabla correcta","Revisar")</f>
        <v>Tabla correcta</v>
      </c>
      <c r="E24" s="13" t="n">
        <v>20</v>
      </c>
      <c r="F24" s="14" t="n">
        <f aca="false">J23</f>
        <v>471851851.8</v>
      </c>
      <c r="G24" s="14" t="n">
        <f aca="false">F24*$B$11</f>
        <v>16405935.4024122</v>
      </c>
      <c r="H24" s="14" t="n">
        <f aca="false">IF(E24&lt;=$B$15,0,$B$17)</f>
        <v>36296296.2962963</v>
      </c>
      <c r="I24" s="14" t="n">
        <f aca="false">IF(E24&lt;=$B$15,G24,$B$17+G24)</f>
        <v>52702231.6987085</v>
      </c>
      <c r="J24" s="14" t="n">
        <f aca="false">ROUND(F24-H24,2)</f>
        <v>435555555.5</v>
      </c>
    </row>
    <row r="25" customFormat="false" ht="15" hidden="false" customHeight="false" outlineLevel="0" collapsed="false">
      <c r="E25" s="13" t="n">
        <v>21</v>
      </c>
      <c r="F25" s="14" t="n">
        <f aca="false">J24</f>
        <v>435555555.5</v>
      </c>
      <c r="G25" s="14" t="n">
        <f aca="false">F25*$B$11</f>
        <v>15143940.3711899</v>
      </c>
      <c r="H25" s="14" t="n">
        <f aca="false">IF(E25&lt;=$B$15,0,$B$17)</f>
        <v>36296296.2962963</v>
      </c>
      <c r="I25" s="14" t="n">
        <f aca="false">IF(E25&lt;=$B$15,G25,$B$17+G25)</f>
        <v>51440236.6674862</v>
      </c>
      <c r="J25" s="14" t="n">
        <f aca="false">ROUND(F25-H25,2)</f>
        <v>399259259.2</v>
      </c>
    </row>
    <row r="26" customFormat="false" ht="15" hidden="false" customHeight="false" outlineLevel="0" collapsed="false">
      <c r="E26" s="13" t="n">
        <v>22</v>
      </c>
      <c r="F26" s="14" t="n">
        <f aca="false">J25</f>
        <v>399259259.2</v>
      </c>
      <c r="G26" s="14" t="n">
        <f aca="false">F26*$B$11</f>
        <v>13881945.3399677</v>
      </c>
      <c r="H26" s="14" t="n">
        <f aca="false">IF(E26&lt;=$B$15,0,$B$17)</f>
        <v>36296296.2962963</v>
      </c>
      <c r="I26" s="14" t="n">
        <f aca="false">IF(E26&lt;=$B$15,G26,$B$17+G26)</f>
        <v>50178241.636264</v>
      </c>
      <c r="J26" s="14" t="n">
        <f aca="false">ROUND(F26-H26,2)</f>
        <v>362962962.9</v>
      </c>
    </row>
    <row r="27" customFormat="false" ht="15" hidden="false" customHeight="false" outlineLevel="0" collapsed="false">
      <c r="E27" s="13" t="n">
        <v>23</v>
      </c>
      <c r="F27" s="14" t="n">
        <f aca="false">J26</f>
        <v>362962962.9</v>
      </c>
      <c r="G27" s="14" t="n">
        <f aca="false">F27*$B$11</f>
        <v>12619950.3087454</v>
      </c>
      <c r="H27" s="14" t="n">
        <f aca="false">IF(E27&lt;=$B$15,0,$B$17)</f>
        <v>36296296.2962963</v>
      </c>
      <c r="I27" s="14" t="n">
        <f aca="false">IF(E27&lt;=$B$15,G27,$B$17+G27)</f>
        <v>48916246.6050417</v>
      </c>
      <c r="J27" s="14" t="n">
        <f aca="false">ROUND(F27-H27,2)</f>
        <v>326666666.6</v>
      </c>
    </row>
    <row r="28" customFormat="false" ht="15" hidden="false" customHeight="false" outlineLevel="0" collapsed="false">
      <c r="E28" s="13" t="n">
        <v>24</v>
      </c>
      <c r="F28" s="14" t="n">
        <f aca="false">J27</f>
        <v>326666666.6</v>
      </c>
      <c r="G28" s="14" t="n">
        <f aca="false">F28*$B$11</f>
        <v>11357955.2775232</v>
      </c>
      <c r="H28" s="14" t="n">
        <f aca="false">IF(E28&lt;=$B$15,0,$B$17)</f>
        <v>36296296.2962963</v>
      </c>
      <c r="I28" s="14" t="n">
        <f aca="false">IF(E28&lt;=$B$15,G28,$B$17+G28)</f>
        <v>47654251.5738195</v>
      </c>
      <c r="J28" s="14" t="n">
        <f aca="false">ROUND(F28-H28,2)</f>
        <v>290370370.3</v>
      </c>
    </row>
    <row r="29" customFormat="false" ht="15" hidden="false" customHeight="false" outlineLevel="0" collapsed="false">
      <c r="E29" s="13" t="n">
        <v>25</v>
      </c>
      <c r="F29" s="14" t="n">
        <f aca="false">J28</f>
        <v>290370370.3</v>
      </c>
      <c r="G29" s="14" t="n">
        <f aca="false">F29*$B$11</f>
        <v>10095960.246301</v>
      </c>
      <c r="H29" s="14" t="n">
        <f aca="false">IF(E29&lt;=$B$15,0,$B$17)</f>
        <v>36296296.2962963</v>
      </c>
      <c r="I29" s="14" t="n">
        <f aca="false">IF(E29&lt;=$B$15,G29,$B$17+G29)</f>
        <v>46392256.5425973</v>
      </c>
      <c r="J29" s="14" t="n">
        <f aca="false">ROUND(F29-H29,2)</f>
        <v>254074074</v>
      </c>
    </row>
    <row r="30" customFormat="false" ht="15" hidden="false" customHeight="false" outlineLevel="0" collapsed="false">
      <c r="E30" s="13" t="n">
        <v>26</v>
      </c>
      <c r="F30" s="14" t="n">
        <f aca="false">J29</f>
        <v>254074074</v>
      </c>
      <c r="G30" s="14" t="n">
        <f aca="false">F30*$B$11</f>
        <v>8833965.21507873</v>
      </c>
      <c r="H30" s="14" t="n">
        <f aca="false">IF(E30&lt;=$B$15,0,$B$17)</f>
        <v>36296296.2962963</v>
      </c>
      <c r="I30" s="14" t="n">
        <f aca="false">IF(E30&lt;=$B$15,G30,$B$17+G30)</f>
        <v>45130261.511375</v>
      </c>
      <c r="J30" s="14" t="n">
        <f aca="false">ROUND(F30-H30,2)</f>
        <v>217777777.7</v>
      </c>
    </row>
    <row r="31" customFormat="false" ht="15" hidden="false" customHeight="false" outlineLevel="0" collapsed="false">
      <c r="E31" s="13" t="n">
        <v>27</v>
      </c>
      <c r="F31" s="14" t="n">
        <f aca="false">J30</f>
        <v>217777777.7</v>
      </c>
      <c r="G31" s="14" t="n">
        <f aca="false">F31*$B$11</f>
        <v>7571970.1838565</v>
      </c>
      <c r="H31" s="14" t="n">
        <f aca="false">IF(E31&lt;=$B$15,0,$B$17)</f>
        <v>36296296.2962963</v>
      </c>
      <c r="I31" s="14" t="n">
        <f aca="false">IF(E31&lt;=$B$15,G31,$B$17+G31)</f>
        <v>43868266.4801528</v>
      </c>
      <c r="J31" s="14" t="n">
        <f aca="false">ROUND(F31-H31,2)</f>
        <v>181481481.4</v>
      </c>
    </row>
    <row r="32" customFormat="false" ht="15" hidden="false" customHeight="false" outlineLevel="0" collapsed="false">
      <c r="E32" s="13" t="n">
        <v>28</v>
      </c>
      <c r="F32" s="14" t="n">
        <f aca="false">J31</f>
        <v>181481481.4</v>
      </c>
      <c r="G32" s="14" t="n">
        <f aca="false">F32*$B$11</f>
        <v>6309975.15263426</v>
      </c>
      <c r="H32" s="14" t="n">
        <f aca="false">IF(E32&lt;=$B$15,0,$B$17)</f>
        <v>36296296.2962963</v>
      </c>
      <c r="I32" s="14" t="n">
        <f aca="false">IF(E32&lt;=$B$15,G32,$B$17+G32)</f>
        <v>42606271.4489306</v>
      </c>
      <c r="J32" s="14" t="n">
        <f aca="false">ROUND(F32-H32,2)</f>
        <v>145185185.1</v>
      </c>
    </row>
    <row r="33" customFormat="false" ht="15" hidden="false" customHeight="false" outlineLevel="0" collapsed="false">
      <c r="E33" s="13" t="n">
        <v>29</v>
      </c>
      <c r="F33" s="14" t="n">
        <f aca="false">J32</f>
        <v>145185185.1</v>
      </c>
      <c r="G33" s="14" t="n">
        <f aca="false">F33*$B$11</f>
        <v>5047980.12141202</v>
      </c>
      <c r="H33" s="14" t="n">
        <f aca="false">IF(E33&lt;=$B$15,0,$B$17)</f>
        <v>36296296.2962963</v>
      </c>
      <c r="I33" s="14" t="n">
        <f aca="false">IF(E33&lt;=$B$15,G33,$B$17+G33)</f>
        <v>41344276.4177083</v>
      </c>
      <c r="J33" s="14" t="n">
        <f aca="false">ROUND(F33-H33,2)</f>
        <v>108888888.8</v>
      </c>
    </row>
    <row r="34" customFormat="false" ht="15" hidden="false" customHeight="false" outlineLevel="0" collapsed="false">
      <c r="E34" s="13" t="n">
        <v>30</v>
      </c>
      <c r="F34" s="14" t="n">
        <f aca="false">J33</f>
        <v>108888888.8</v>
      </c>
      <c r="G34" s="14" t="n">
        <f aca="false">F34*$B$11</f>
        <v>3785985.09018979</v>
      </c>
      <c r="H34" s="14" t="n">
        <f aca="false">IF(E34&lt;=$B$15,0,$B$17)</f>
        <v>36296296.2962963</v>
      </c>
      <c r="I34" s="14" t="n">
        <f aca="false">IF(E34&lt;=$B$15,G34,$B$17+G34)</f>
        <v>40082281.3864861</v>
      </c>
      <c r="J34" s="14" t="n">
        <f aca="false">ROUND(F34-H34,2)</f>
        <v>72592592.5</v>
      </c>
    </row>
    <row r="35" customFormat="false" ht="15" hidden="false" customHeight="false" outlineLevel="0" collapsed="false">
      <c r="E35" s="13" t="n">
        <v>31</v>
      </c>
      <c r="F35" s="14" t="n">
        <f aca="false">J34</f>
        <v>72592592.5</v>
      </c>
      <c r="G35" s="14" t="n">
        <f aca="false">F35*$B$11</f>
        <v>2523990.05896755</v>
      </c>
      <c r="H35" s="14" t="n">
        <f aca="false">IF(E35&lt;=$B$15,0,$B$17)</f>
        <v>36296296.2962963</v>
      </c>
      <c r="I35" s="14" t="n">
        <f aca="false">IF(E35&lt;=$B$15,G35,$B$17+G35)</f>
        <v>38820286.3552638</v>
      </c>
      <c r="J35" s="14" t="n">
        <f aca="false">ROUND(F35-H35,2)</f>
        <v>36296296.2</v>
      </c>
    </row>
    <row r="36" customFormat="false" ht="15" hidden="false" customHeight="false" outlineLevel="0" collapsed="false">
      <c r="E36" s="13" t="n">
        <v>32</v>
      </c>
      <c r="F36" s="14" t="n">
        <f aca="false">J35</f>
        <v>36296296.2</v>
      </c>
      <c r="G36" s="14" t="n">
        <f aca="false">F36*$B$11</f>
        <v>1261995.02774531</v>
      </c>
      <c r="H36" s="14" t="n">
        <f aca="false">IF(E36&lt;=$B$15,0,$B$17)</f>
        <v>36296296.2962963</v>
      </c>
      <c r="I36" s="14" t="n">
        <f aca="false">IF(E36&lt;=$B$15,G36,$B$17+G36)</f>
        <v>37558291.3240416</v>
      </c>
      <c r="J36" s="14" t="n">
        <f aca="false">ROUND(F36-H36,2)</f>
        <v>-0.1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J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7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10" min="9" style="0" width="18"/>
  </cols>
  <sheetData>
    <row r="1" customFormat="false" ht="16.15" hidden="false" customHeight="false" outlineLevel="0" collapsed="false">
      <c r="A1" s="10" t="s">
        <v>198</v>
      </c>
    </row>
    <row r="2" customFormat="false" ht="15" hidden="false" customHeight="false" outlineLevel="0" collapsed="false">
      <c r="A2" s="2" t="s">
        <v>199</v>
      </c>
    </row>
    <row r="4" customFormat="false" ht="23.85" hidden="false" customHeight="false" outlineLevel="0" collapsed="false">
      <c r="A4" s="7" t="s">
        <v>123</v>
      </c>
      <c r="E4" s="3" t="s">
        <v>124</v>
      </c>
      <c r="F4" s="3" t="s">
        <v>125</v>
      </c>
      <c r="G4" s="3" t="s">
        <v>126</v>
      </c>
      <c r="H4" s="3" t="s">
        <v>127</v>
      </c>
      <c r="I4" s="3" t="s">
        <v>128</v>
      </c>
      <c r="J4" s="3" t="s">
        <v>129</v>
      </c>
    </row>
    <row r="5" customFormat="false" ht="15" hidden="false" customHeight="false" outlineLevel="0" collapsed="false">
      <c r="A5" s="11" t="s">
        <v>130</v>
      </c>
      <c r="B5" s="12" t="n">
        <v>895421365</v>
      </c>
      <c r="E5" s="13" t="n">
        <v>1</v>
      </c>
      <c r="F5" s="14" t="n">
        <f aca="false">$B$5</f>
        <v>895421365</v>
      </c>
      <c r="G5" s="14" t="n">
        <f aca="false">F5*$B$11</f>
        <v>36780502.5323976</v>
      </c>
      <c r="H5" s="14" t="n">
        <f aca="false">I5-G5</f>
        <v>11283687.466117</v>
      </c>
      <c r="I5" s="14" t="n">
        <f aca="false">$B$15</f>
        <v>48064189.9985147</v>
      </c>
      <c r="J5" s="14" t="n">
        <f aca="false">ROUND(F5-H5,2)</f>
        <v>884137677.53</v>
      </c>
    </row>
    <row r="6" customFormat="false" ht="15" hidden="false" customHeight="false" outlineLevel="0" collapsed="false">
      <c r="A6" s="11" t="s">
        <v>159</v>
      </c>
      <c r="B6" s="15" t="n">
        <v>0.0272</v>
      </c>
      <c r="E6" s="13" t="n">
        <v>2</v>
      </c>
      <c r="F6" s="14" t="n">
        <f aca="false">J5</f>
        <v>884137677.53</v>
      </c>
      <c r="G6" s="14" t="n">
        <f aca="false">F6*$B$11</f>
        <v>36317011.5863611</v>
      </c>
      <c r="H6" s="14" t="n">
        <f aca="false">I6-G6</f>
        <v>11747178.4121535</v>
      </c>
      <c r="I6" s="14" t="n">
        <f aca="false">$B$15</f>
        <v>48064189.9985147</v>
      </c>
      <c r="J6" s="14" t="n">
        <f aca="false">ROUND(F6-H6,2)</f>
        <v>872390499.12</v>
      </c>
    </row>
    <row r="7" customFormat="false" ht="15" hidden="false" customHeight="false" outlineLevel="0" collapsed="false">
      <c r="A7" s="11" t="s">
        <v>169</v>
      </c>
      <c r="B7" s="17" t="n">
        <v>9</v>
      </c>
      <c r="E7" s="13" t="n">
        <v>3</v>
      </c>
      <c r="F7" s="14" t="n">
        <f aca="false">J6</f>
        <v>872390499.12</v>
      </c>
      <c r="G7" s="14" t="n">
        <f aca="false">F7*$B$11</f>
        <v>35834482.1961254</v>
      </c>
      <c r="H7" s="14" t="n">
        <f aca="false">I7-G7</f>
        <v>12229707.8023893</v>
      </c>
      <c r="I7" s="14" t="n">
        <f aca="false">$B$15</f>
        <v>48064189.9985147</v>
      </c>
      <c r="J7" s="14" t="n">
        <f aca="false">ROUND(F7-H7,2)</f>
        <v>860160791.32</v>
      </c>
    </row>
    <row r="8" customFormat="false" ht="15" hidden="false" customHeight="false" outlineLevel="0" collapsed="false">
      <c r="E8" s="13" t="n">
        <v>4</v>
      </c>
      <c r="F8" s="14" t="n">
        <f aca="false">J7</f>
        <v>860160791.32</v>
      </c>
      <c r="G8" s="14" t="n">
        <f aca="false">F8*$B$11</f>
        <v>35332132.334607</v>
      </c>
      <c r="H8" s="14" t="n">
        <f aca="false">I8-G8</f>
        <v>12732057.6639077</v>
      </c>
      <c r="I8" s="14" t="n">
        <f aca="false">$B$15</f>
        <v>48064189.9985147</v>
      </c>
      <c r="J8" s="14" t="n">
        <f aca="false">ROUND(F8-H8,2)</f>
        <v>847428733.66</v>
      </c>
    </row>
    <row r="9" customFormat="false" ht="15" hidden="false" customHeight="false" outlineLevel="0" collapsed="false">
      <c r="A9" s="7" t="s">
        <v>136</v>
      </c>
      <c r="E9" s="13" t="n">
        <v>5</v>
      </c>
      <c r="F9" s="14" t="n">
        <f aca="false">J8</f>
        <v>847428733.66</v>
      </c>
      <c r="G9" s="14" t="n">
        <f aca="false">F9*$B$11</f>
        <v>34809147.8523166</v>
      </c>
      <c r="H9" s="14" t="n">
        <f aca="false">I9-G9</f>
        <v>13255042.1461981</v>
      </c>
      <c r="I9" s="14" t="n">
        <f aca="false">$B$15</f>
        <v>48064189.9985147</v>
      </c>
      <c r="J9" s="14" t="n">
        <f aca="false">ROUND(F9-H9,2)</f>
        <v>834173691.51</v>
      </c>
    </row>
    <row r="10" customFormat="false" ht="15" hidden="false" customHeight="false" outlineLevel="0" collapsed="false">
      <c r="A10" s="11" t="s">
        <v>158</v>
      </c>
      <c r="B10" s="18" t="n">
        <f aca="false">(1+$B$6)^6-1</f>
        <v>0.174708373143023</v>
      </c>
      <c r="E10" s="13" t="n">
        <v>6</v>
      </c>
      <c r="F10" s="14" t="n">
        <f aca="false">J9</f>
        <v>834173691.51</v>
      </c>
      <c r="G10" s="14" t="n">
        <f aca="false">F10*$B$11</f>
        <v>34264681.1571701</v>
      </c>
      <c r="H10" s="14" t="n">
        <f aca="false">I10-G10</f>
        <v>13799508.8413446</v>
      </c>
      <c r="I10" s="14" t="n">
        <f aca="false">$B$15</f>
        <v>48064189.9985147</v>
      </c>
      <c r="J10" s="14" t="n">
        <f aca="false">ROUND(F10-H10,2)</f>
        <v>820374182.67</v>
      </c>
    </row>
    <row r="11" customFormat="false" ht="15" hidden="false" customHeight="false" outlineLevel="0" collapsed="false">
      <c r="A11" s="11" t="s">
        <v>156</v>
      </c>
      <c r="B11" s="19" t="n">
        <f aca="false">(1+$B$6)^(3/2)-1</f>
        <v>0.0410761949290741</v>
      </c>
      <c r="C11" s="16" t="s">
        <v>200</v>
      </c>
      <c r="E11" s="13" t="n">
        <v>7</v>
      </c>
      <c r="F11" s="14" t="n">
        <f aca="false">J10</f>
        <v>820374182.67</v>
      </c>
      <c r="G11" s="14" t="n">
        <f aca="false">F11*$B$11</f>
        <v>33697849.8421328</v>
      </c>
      <c r="H11" s="14" t="n">
        <f aca="false">I11-G11</f>
        <v>14366340.1563819</v>
      </c>
      <c r="I11" s="14" t="n">
        <f aca="false">$B$15</f>
        <v>48064189.9985147</v>
      </c>
      <c r="J11" s="14" t="n">
        <f aca="false">ROUND(F11-H11,2)</f>
        <v>806007842.51</v>
      </c>
    </row>
    <row r="12" customFormat="false" ht="15" hidden="false" customHeight="false" outlineLevel="0" collapsed="false">
      <c r="A12" s="11" t="s">
        <v>201</v>
      </c>
      <c r="B12" s="20" t="n">
        <f aca="false">$B$7*4</f>
        <v>36</v>
      </c>
      <c r="E12" s="13" t="n">
        <v>8</v>
      </c>
      <c r="F12" s="14" t="n">
        <f aca="false">J11</f>
        <v>806007842.51</v>
      </c>
      <c r="G12" s="14" t="n">
        <f aca="false">F12*$B$11</f>
        <v>33107735.2533032</v>
      </c>
      <c r="H12" s="14" t="n">
        <f aca="false">I12-G12</f>
        <v>14956454.7452114</v>
      </c>
      <c r="I12" s="14" t="n">
        <f aca="false">$B$15</f>
        <v>48064189.9985147</v>
      </c>
      <c r="J12" s="14" t="n">
        <f aca="false">ROUND(F12-H12,2)</f>
        <v>791051387.76</v>
      </c>
    </row>
    <row r="13" customFormat="false" ht="15" hidden="false" customHeight="false" outlineLevel="0" collapsed="false">
      <c r="E13" s="13" t="n">
        <v>9</v>
      </c>
      <c r="F13" s="14" t="n">
        <f aca="false">J12</f>
        <v>791051387.76</v>
      </c>
      <c r="G13" s="14" t="n">
        <f aca="false">F13*$B$11</f>
        <v>32493381.0025443</v>
      </c>
      <c r="H13" s="14" t="n">
        <f aca="false">I13-G13</f>
        <v>15570808.9959703</v>
      </c>
      <c r="I13" s="14" t="n">
        <f aca="false">$B$15</f>
        <v>48064189.9985147</v>
      </c>
      <c r="J13" s="14" t="n">
        <f aca="false">ROUND(F13-H13,2)</f>
        <v>775480578.76</v>
      </c>
    </row>
    <row r="14" customFormat="false" ht="15" hidden="false" customHeight="false" outlineLevel="0" collapsed="false">
      <c r="A14" s="7" t="s">
        <v>128</v>
      </c>
      <c r="E14" s="13" t="n">
        <v>10</v>
      </c>
      <c r="F14" s="14" t="n">
        <f aca="false">J13</f>
        <v>775480578.76</v>
      </c>
      <c r="G14" s="14" t="n">
        <f aca="false">F14*$B$11</f>
        <v>31853791.416857</v>
      </c>
      <c r="H14" s="14" t="n">
        <f aca="false">I14-G14</f>
        <v>16210398.5816577</v>
      </c>
      <c r="I14" s="14" t="n">
        <f aca="false">$B$15</f>
        <v>48064189.9985147</v>
      </c>
      <c r="J14" s="14" t="n">
        <f aca="false">ROUND(F14-H14,2)</f>
        <v>759270180.18</v>
      </c>
    </row>
    <row r="15" customFormat="false" ht="15" hidden="false" customHeight="false" outlineLevel="0" collapsed="false">
      <c r="A15" s="11" t="s">
        <v>15</v>
      </c>
      <c r="B15" s="21" t="n">
        <f aca="false">PMT($B$11,$B$12,-$B$5)</f>
        <v>48064189.9985147</v>
      </c>
      <c r="C15" s="16" t="s">
        <v>142</v>
      </c>
      <c r="E15" s="13" t="n">
        <v>11</v>
      </c>
      <c r="F15" s="14" t="n">
        <f aca="false">J14</f>
        <v>759270180.18</v>
      </c>
      <c r="G15" s="14" t="n">
        <f aca="false">F15*$B$11</f>
        <v>31187929.9249069</v>
      </c>
      <c r="H15" s="14" t="n">
        <f aca="false">I15-G15</f>
        <v>16876260.0736078</v>
      </c>
      <c r="I15" s="14" t="n">
        <f aca="false">$B$15</f>
        <v>48064189.9985147</v>
      </c>
      <c r="J15" s="14" t="n">
        <f aca="false">ROUND(F15-H15,2)</f>
        <v>742393920.11</v>
      </c>
    </row>
    <row r="16" customFormat="false" ht="15" hidden="false" customHeight="false" outlineLevel="0" collapsed="false">
      <c r="E16" s="13" t="n">
        <v>12</v>
      </c>
      <c r="F16" s="14" t="n">
        <f aca="false">J15</f>
        <v>742393920.11</v>
      </c>
      <c r="G16" s="14" t="n">
        <f aca="false">F16*$B$11</f>
        <v>30494717.3765978</v>
      </c>
      <c r="H16" s="14" t="n">
        <f aca="false">I16-G16</f>
        <v>17569472.6219168</v>
      </c>
      <c r="I16" s="14" t="n">
        <f aca="false">$B$15</f>
        <v>48064189.9985147</v>
      </c>
      <c r="J16" s="14" t="n">
        <f aca="false">ROUND(F16-H16,2)</f>
        <v>724824447.49</v>
      </c>
    </row>
    <row r="17" customFormat="false" ht="15" hidden="false" customHeight="false" outlineLevel="0" collapsed="false">
      <c r="A17" s="7" t="s">
        <v>143</v>
      </c>
      <c r="E17" s="13" t="n">
        <v>13</v>
      </c>
      <c r="F17" s="14" t="n">
        <f aca="false">J16</f>
        <v>724824447.49</v>
      </c>
      <c r="G17" s="14" t="n">
        <f aca="false">F17*$B$11</f>
        <v>29773030.2944577</v>
      </c>
      <c r="H17" s="14" t="n">
        <f aca="false">I17-G17</f>
        <v>18291159.704057</v>
      </c>
      <c r="I17" s="14" t="n">
        <f aca="false">$B$15</f>
        <v>48064189.9985147</v>
      </c>
      <c r="J17" s="14" t="n">
        <f aca="false">ROUND(F17-H17,2)</f>
        <v>706533287.79</v>
      </c>
    </row>
    <row r="18" customFormat="false" ht="15" hidden="false" customHeight="false" outlineLevel="0" collapsed="false">
      <c r="A18" s="11" t="s">
        <v>144</v>
      </c>
      <c r="B18" s="22" t="n">
        <f aca="false">SUM(G5:G40)</f>
        <v>834889474.924877</v>
      </c>
      <c r="E18" s="13" t="n">
        <v>14</v>
      </c>
      <c r="F18" s="14" t="n">
        <f aca="false">J17</f>
        <v>706533287.79</v>
      </c>
      <c r="G18" s="14" t="n">
        <f aca="false">F18*$B$11</f>
        <v>29021699.0531417</v>
      </c>
      <c r="H18" s="14" t="n">
        <f aca="false">I18-G18</f>
        <v>19042490.945373</v>
      </c>
      <c r="I18" s="14" t="n">
        <f aca="false">$B$15</f>
        <v>48064189.9985147</v>
      </c>
      <c r="J18" s="14" t="n">
        <f aca="false">ROUND(F18-H18,2)</f>
        <v>687490796.84</v>
      </c>
    </row>
    <row r="19" customFormat="false" ht="15" hidden="false" customHeight="false" outlineLevel="0" collapsed="false">
      <c r="A19" s="11" t="s">
        <v>145</v>
      </c>
      <c r="B19" s="14" t="n">
        <f aca="false">SUM(I5:I40)</f>
        <v>1730310839.94653</v>
      </c>
      <c r="E19" s="13" t="n">
        <v>15</v>
      </c>
      <c r="F19" s="14" t="n">
        <f aca="false">J18</f>
        <v>687490796.84</v>
      </c>
      <c r="G19" s="14" t="n">
        <f aca="false">F19*$B$11</f>
        <v>28239505.9829443</v>
      </c>
      <c r="H19" s="14" t="n">
        <f aca="false">I19-G19</f>
        <v>19824684.0155703</v>
      </c>
      <c r="I19" s="14" t="n">
        <f aca="false">$B$15</f>
        <v>48064189.9985147</v>
      </c>
      <c r="J19" s="14" t="n">
        <f aca="false">ROUND(F19-H19,2)</f>
        <v>667666112.82</v>
      </c>
    </row>
    <row r="20" customFormat="false" ht="15" hidden="false" customHeight="false" outlineLevel="0" collapsed="false">
      <c r="A20" s="11" t="s">
        <v>146</v>
      </c>
      <c r="B20" s="23" t="n">
        <f aca="false">J40</f>
        <v>-0.05</v>
      </c>
      <c r="E20" s="13" t="n">
        <v>16</v>
      </c>
      <c r="F20" s="14" t="n">
        <f aca="false">J19</f>
        <v>667666112.82</v>
      </c>
      <c r="G20" s="14" t="n">
        <f aca="false">F20*$B$11</f>
        <v>27425183.3977315</v>
      </c>
      <c r="H20" s="14" t="n">
        <f aca="false">I20-G20</f>
        <v>20639006.6007832</v>
      </c>
      <c r="I20" s="14" t="n">
        <f aca="false">$B$15</f>
        <v>48064189.9985147</v>
      </c>
      <c r="J20" s="14" t="n">
        <f aca="false">ROUND(F20-H20,2)</f>
        <v>647027106.22</v>
      </c>
    </row>
    <row r="21" customFormat="false" ht="15" hidden="false" customHeight="false" outlineLevel="0" collapsed="false">
      <c r="A21" s="11" t="s">
        <v>147</v>
      </c>
      <c r="B21" s="14" t="n">
        <f aca="false">NPV($B$11,I5:I40)</f>
        <v>895421365</v>
      </c>
      <c r="E21" s="13" t="n">
        <v>17</v>
      </c>
      <c r="F21" s="14" t="n">
        <f aca="false">J20</f>
        <v>647027106.22</v>
      </c>
      <c r="G21" s="14" t="n">
        <f aca="false">F21*$B$11</f>
        <v>26577411.5394875</v>
      </c>
      <c r="H21" s="14" t="n">
        <f aca="false">I21-G21</f>
        <v>21486778.4590272</v>
      </c>
      <c r="I21" s="14" t="n">
        <f aca="false">$B$15</f>
        <v>48064189.9985147</v>
      </c>
      <c r="J21" s="14" t="n">
        <f aca="false">ROUND(F21-H21,2)</f>
        <v>625540327.76</v>
      </c>
    </row>
    <row r="22" customFormat="false" ht="15" hidden="false" customHeight="false" outlineLevel="0" collapsed="false">
      <c r="A22" s="11" t="s">
        <v>148</v>
      </c>
      <c r="B22" s="24" t="str">
        <f aca="false">IF(AND(ABS(J40)&lt;1,ABS(B21-$B$5)&lt;1),"Tabla correcta","Revisar")</f>
        <v>Tabla correcta</v>
      </c>
      <c r="E22" s="13" t="n">
        <v>18</v>
      </c>
      <c r="F22" s="14" t="n">
        <f aca="false">J21</f>
        <v>625540327.76</v>
      </c>
      <c r="G22" s="14" t="n">
        <f aca="false">F22*$B$11</f>
        <v>25694816.4390667</v>
      </c>
      <c r="H22" s="14" t="n">
        <f aca="false">I22-G22</f>
        <v>22369373.559448</v>
      </c>
      <c r="I22" s="14" t="n">
        <f aca="false">$B$15</f>
        <v>48064189.9985147</v>
      </c>
      <c r="J22" s="14" t="n">
        <f aca="false">ROUND(F22-H22,2)</f>
        <v>603170954.2</v>
      </c>
    </row>
    <row r="23" customFormat="false" ht="15" hidden="false" customHeight="false" outlineLevel="0" collapsed="false">
      <c r="E23" s="13" t="n">
        <v>19</v>
      </c>
      <c r="F23" s="14" t="n">
        <f aca="false">J22</f>
        <v>603170954.2</v>
      </c>
      <c r="G23" s="14" t="n">
        <f aca="false">F23*$B$11</f>
        <v>24775967.6902748</v>
      </c>
      <c r="H23" s="14" t="n">
        <f aca="false">I23-G23</f>
        <v>23288222.3082398</v>
      </c>
      <c r="I23" s="14" t="n">
        <f aca="false">$B$15</f>
        <v>48064189.9985147</v>
      </c>
      <c r="J23" s="14" t="n">
        <f aca="false">ROUND(F23-H23,2)</f>
        <v>579882731.89</v>
      </c>
    </row>
    <row r="24" customFormat="false" ht="15" hidden="false" customHeight="false" outlineLevel="0" collapsed="false">
      <c r="E24" s="13" t="n">
        <v>20</v>
      </c>
      <c r="F24" s="14" t="n">
        <f aca="false">J23</f>
        <v>579882731.89</v>
      </c>
      <c r="G24" s="14" t="n">
        <f aca="false">F24*$B$11</f>
        <v>23819376.1311177</v>
      </c>
      <c r="H24" s="14" t="n">
        <f aca="false">I24-G24</f>
        <v>24244813.867397</v>
      </c>
      <c r="I24" s="14" t="n">
        <f aca="false">$B$15</f>
        <v>48064189.9985147</v>
      </c>
      <c r="J24" s="14" t="n">
        <f aca="false">ROUND(F24-H24,2)</f>
        <v>555637918.02</v>
      </c>
    </row>
    <row r="25" customFormat="false" ht="15" hidden="false" customHeight="false" outlineLevel="0" collapsed="false">
      <c r="E25" s="13" t="n">
        <v>21</v>
      </c>
      <c r="F25" s="14" t="n">
        <f aca="false">J24</f>
        <v>555637918.02</v>
      </c>
      <c r="G25" s="14" t="n">
        <f aca="false">F25*$B$11</f>
        <v>22823491.4305744</v>
      </c>
      <c r="H25" s="14" t="n">
        <f aca="false">I25-G25</f>
        <v>25240698.5679402</v>
      </c>
      <c r="I25" s="14" t="n">
        <f aca="false">$B$15</f>
        <v>48064189.9985147</v>
      </c>
      <c r="J25" s="14" t="n">
        <f aca="false">ROUND(F25-H25,2)</f>
        <v>530397219.45</v>
      </c>
    </row>
    <row r="26" customFormat="false" ht="15" hidden="false" customHeight="false" outlineLevel="0" collapsed="false">
      <c r="E26" s="13" t="n">
        <v>22</v>
      </c>
      <c r="F26" s="14" t="n">
        <f aca="false">J25</f>
        <v>530397219.45</v>
      </c>
      <c r="G26" s="14" t="n">
        <f aca="false">F26*$B$11</f>
        <v>21786699.5759671</v>
      </c>
      <c r="H26" s="14" t="n">
        <f aca="false">I26-G26</f>
        <v>26277490.4225476</v>
      </c>
      <c r="I26" s="14" t="n">
        <f aca="false">$B$15</f>
        <v>48064189.9985147</v>
      </c>
      <c r="J26" s="14" t="n">
        <f aca="false">ROUND(F26-H26,2)</f>
        <v>504119729.03</v>
      </c>
    </row>
    <row r="27" customFormat="false" ht="15" hidden="false" customHeight="false" outlineLevel="0" collapsed="false">
      <c r="E27" s="13" t="n">
        <v>23</v>
      </c>
      <c r="F27" s="14" t="n">
        <f aca="false">J26</f>
        <v>504119729.03</v>
      </c>
      <c r="G27" s="14" t="n">
        <f aca="false">F27*$B$11</f>
        <v>20707320.2572283</v>
      </c>
      <c r="H27" s="14" t="n">
        <f aca="false">I27-G27</f>
        <v>27356869.7412864</v>
      </c>
      <c r="I27" s="14" t="n">
        <f aca="false">$B$15</f>
        <v>48064189.9985147</v>
      </c>
      <c r="J27" s="14" t="n">
        <f aca="false">ROUND(F27-H27,2)</f>
        <v>476762859.29</v>
      </c>
    </row>
    <row r="28" customFormat="false" ht="15" hidden="false" customHeight="false" outlineLevel="0" collapsed="false">
      <c r="E28" s="13" t="n">
        <v>24</v>
      </c>
      <c r="F28" s="14" t="n">
        <f aca="false">J27</f>
        <v>476762859.29</v>
      </c>
      <c r="G28" s="14" t="n">
        <f aca="false">F28*$B$11</f>
        <v>19583604.1431388</v>
      </c>
      <c r="H28" s="14" t="n">
        <f aca="false">I28-G28</f>
        <v>28480585.8553759</v>
      </c>
      <c r="I28" s="14" t="n">
        <f aca="false">$B$15</f>
        <v>48064189.9985147</v>
      </c>
      <c r="J28" s="14" t="n">
        <f aca="false">ROUND(F28-H28,2)</f>
        <v>448282273.43</v>
      </c>
    </row>
    <row r="29" customFormat="false" ht="15" hidden="false" customHeight="false" outlineLevel="0" collapsed="false">
      <c r="E29" s="13" t="n">
        <v>25</v>
      </c>
      <c r="F29" s="14" t="n">
        <f aca="false">J28</f>
        <v>448282273.43</v>
      </c>
      <c r="G29" s="14" t="n">
        <f aca="false">F29*$B$11</f>
        <v>18413730.0466592</v>
      </c>
      <c r="H29" s="14" t="n">
        <f aca="false">I29-G29</f>
        <v>29650459.9518555</v>
      </c>
      <c r="I29" s="14" t="n">
        <f aca="false">$B$15</f>
        <v>48064189.9985147</v>
      </c>
      <c r="J29" s="14" t="n">
        <f aca="false">ROUND(F29-H29,2)</f>
        <v>418631813.48</v>
      </c>
    </row>
    <row r="30" customFormat="false" ht="15" hidden="false" customHeight="false" outlineLevel="0" collapsed="false">
      <c r="E30" s="13" t="n">
        <v>26</v>
      </c>
      <c r="F30" s="14" t="n">
        <f aca="false">J29</f>
        <v>418631813.48</v>
      </c>
      <c r="G30" s="14" t="n">
        <f aca="false">F30*$B$11</f>
        <v>17195801.9740163</v>
      </c>
      <c r="H30" s="14" t="n">
        <f aca="false">I30-G30</f>
        <v>30868388.0244984</v>
      </c>
      <c r="I30" s="14" t="n">
        <f aca="false">$B$15</f>
        <v>48064189.9985147</v>
      </c>
      <c r="J30" s="14" t="n">
        <f aca="false">ROUND(F30-H30,2)</f>
        <v>387763425.46</v>
      </c>
    </row>
    <row r="31" customFormat="false" ht="15" hidden="false" customHeight="false" outlineLevel="0" collapsed="false">
      <c r="E31" s="13" t="n">
        <v>27</v>
      </c>
      <c r="F31" s="14" t="n">
        <f aca="false">J30</f>
        <v>387763425.46</v>
      </c>
      <c r="G31" s="14" t="n">
        <f aca="false">F31*$B$11</f>
        <v>15927846.0505605</v>
      </c>
      <c r="H31" s="14" t="n">
        <f aca="false">I31-G31</f>
        <v>32136343.9479542</v>
      </c>
      <c r="I31" s="14" t="n">
        <f aca="false">$B$15</f>
        <v>48064189.9985147</v>
      </c>
      <c r="J31" s="14" t="n">
        <f aca="false">ROUND(F31-H31,2)</f>
        <v>355627081.51</v>
      </c>
    </row>
    <row r="32" customFormat="false" ht="15" hidden="false" customHeight="false" outlineLevel="0" collapsed="false">
      <c r="E32" s="13" t="n">
        <v>28</v>
      </c>
      <c r="F32" s="14" t="n">
        <f aca="false">J31</f>
        <v>355627081.51</v>
      </c>
      <c r="G32" s="14" t="n">
        <f aca="false">F32*$B$11</f>
        <v>14607807.3221625</v>
      </c>
      <c r="H32" s="14" t="n">
        <f aca="false">I32-G32</f>
        <v>33456382.6763522</v>
      </c>
      <c r="I32" s="14" t="n">
        <f aca="false">$B$15</f>
        <v>48064189.9985147</v>
      </c>
      <c r="J32" s="14" t="n">
        <f aca="false">ROUND(F32-H32,2)</f>
        <v>322170698.83</v>
      </c>
    </row>
    <row r="33" customFormat="false" ht="15" hidden="false" customHeight="false" outlineLevel="0" collapsed="false">
      <c r="E33" s="13" t="n">
        <v>29</v>
      </c>
      <c r="F33" s="14" t="n">
        <f aca="false">J32</f>
        <v>322170698.83</v>
      </c>
      <c r="G33" s="14" t="n">
        <f aca="false">F33*$B$11</f>
        <v>13233546.4255771</v>
      </c>
      <c r="H33" s="14" t="n">
        <f aca="false">I33-G33</f>
        <v>34830643.5729376</v>
      </c>
      <c r="I33" s="14" t="n">
        <f aca="false">$B$15</f>
        <v>48064189.9985147</v>
      </c>
      <c r="J33" s="14" t="n">
        <f aca="false">ROUND(F33-H33,2)</f>
        <v>287340055.26</v>
      </c>
    </row>
    <row r="34" customFormat="false" ht="15" hidden="false" customHeight="false" outlineLevel="0" collapsed="false">
      <c r="E34" s="13" t="n">
        <v>30</v>
      </c>
      <c r="F34" s="14" t="n">
        <f aca="false">J33</f>
        <v>287340055.26</v>
      </c>
      <c r="G34" s="14" t="n">
        <f aca="false">F34*$B$11</f>
        <v>11802836.1207907</v>
      </c>
      <c r="H34" s="14" t="n">
        <f aca="false">I34-G34</f>
        <v>36261353.877724</v>
      </c>
      <c r="I34" s="14" t="n">
        <f aca="false">$B$15</f>
        <v>48064189.9985147</v>
      </c>
      <c r="J34" s="14" t="n">
        <f aca="false">ROUND(F34-H34,2)</f>
        <v>251078701.38</v>
      </c>
    </row>
    <row r="35" customFormat="false" ht="15" hidden="false" customHeight="false" outlineLevel="0" collapsed="false">
      <c r="E35" s="13" t="n">
        <v>31</v>
      </c>
      <c r="F35" s="14" t="n">
        <f aca="false">J34</f>
        <v>251078701.38</v>
      </c>
      <c r="G35" s="14" t="n">
        <f aca="false">F35*$B$11</f>
        <v>10313357.6804237</v>
      </c>
      <c r="H35" s="14" t="n">
        <f aca="false">I35-G35</f>
        <v>37750832.318091</v>
      </c>
      <c r="I35" s="14" t="n">
        <f aca="false">$B$15</f>
        <v>48064189.9985147</v>
      </c>
      <c r="J35" s="14" t="n">
        <f aca="false">ROUND(F35-H35,2)</f>
        <v>213327869.06</v>
      </c>
    </row>
    <row r="36" customFormat="false" ht="15" hidden="false" customHeight="false" outlineLevel="0" collapsed="false">
      <c r="E36" s="13" t="n">
        <v>32</v>
      </c>
      <c r="F36" s="14" t="n">
        <f aca="false">J35</f>
        <v>213327869.06</v>
      </c>
      <c r="G36" s="14" t="n">
        <f aca="false">F36*$B$11</f>
        <v>8762697.13331256</v>
      </c>
      <c r="H36" s="14" t="n">
        <f aca="false">I36-G36</f>
        <v>39301492.8652021</v>
      </c>
      <c r="I36" s="14" t="n">
        <f aca="false">$B$15</f>
        <v>48064189.9985147</v>
      </c>
      <c r="J36" s="14" t="n">
        <f aca="false">ROUND(F36-H36,2)</f>
        <v>174026376.19</v>
      </c>
    </row>
    <row r="37" customFormat="false" ht="15" hidden="false" customHeight="false" outlineLevel="0" collapsed="false">
      <c r="E37" s="13" t="n">
        <v>33</v>
      </c>
      <c r="F37" s="14" t="n">
        <f aca="false">J36</f>
        <v>174026376.19</v>
      </c>
      <c r="G37" s="14" t="n">
        <f aca="false">F37*$B$11</f>
        <v>7148341.35118082</v>
      </c>
      <c r="H37" s="14" t="n">
        <f aca="false">I37-G37</f>
        <v>40915848.6473338</v>
      </c>
      <c r="I37" s="14" t="n">
        <f aca="false">$B$15</f>
        <v>48064189.9985147</v>
      </c>
      <c r="J37" s="14" t="n">
        <f aca="false">ROUND(F37-H37,2)</f>
        <v>133110527.54</v>
      </c>
    </row>
    <row r="38" customFormat="false" ht="15" hidden="false" customHeight="false" outlineLevel="0" collapsed="false">
      <c r="E38" s="13" t="n">
        <v>34</v>
      </c>
      <c r="F38" s="14" t="n">
        <f aca="false">J37</f>
        <v>133110527.54</v>
      </c>
      <c r="G38" s="14" t="n">
        <f aca="false">F38*$B$11</f>
        <v>5467673.97634493</v>
      </c>
      <c r="H38" s="14" t="n">
        <f aca="false">I38-G38</f>
        <v>42596516.0221697</v>
      </c>
      <c r="I38" s="14" t="n">
        <f aca="false">$B$15</f>
        <v>48064189.9985147</v>
      </c>
      <c r="J38" s="14" t="n">
        <f aca="false">ROUND(F38-H38,2)</f>
        <v>90514011.52</v>
      </c>
    </row>
    <row r="39" customFormat="false" ht="15" hidden="false" customHeight="false" outlineLevel="0" collapsed="false">
      <c r="E39" s="13" t="n">
        <v>35</v>
      </c>
      <c r="F39" s="14" t="n">
        <f aca="false">J38</f>
        <v>90514011.52</v>
      </c>
      <c r="G39" s="14" t="n">
        <f aca="false">F39*$B$11</f>
        <v>3717971.18100798</v>
      </c>
      <c r="H39" s="14" t="n">
        <f aca="false">I39-G39</f>
        <v>44346218.8175067</v>
      </c>
      <c r="I39" s="14" t="n">
        <f aca="false">$B$15</f>
        <v>48064189.9985147</v>
      </c>
      <c r="J39" s="14" t="n">
        <f aca="false">ROUND(F39-H39,2)</f>
        <v>46167792.7</v>
      </c>
    </row>
    <row r="40" customFormat="false" ht="15" hidden="false" customHeight="false" outlineLevel="0" collapsed="false">
      <c r="E40" s="13" t="n">
        <v>36</v>
      </c>
      <c r="F40" s="14" t="n">
        <f aca="false">J39</f>
        <v>46167792.7</v>
      </c>
      <c r="G40" s="14" t="n">
        <f aca="false">F40*$B$11</f>
        <v>1896397.25239028</v>
      </c>
      <c r="H40" s="14" t="n">
        <f aca="false">I40-G40</f>
        <v>46167792.7461244</v>
      </c>
      <c r="I40" s="14" t="n">
        <f aca="false">$B$15</f>
        <v>48064189.9985147</v>
      </c>
      <c r="J40" s="14" t="n">
        <f aca="false">ROUND(F40-H40,2)</f>
        <v>-0.05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J1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7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10" min="9" style="0" width="18"/>
  </cols>
  <sheetData>
    <row r="1" customFormat="false" ht="16.15" hidden="false" customHeight="false" outlineLevel="0" collapsed="false">
      <c r="A1" s="10" t="s">
        <v>202</v>
      </c>
    </row>
    <row r="2" customFormat="false" ht="15" hidden="false" customHeight="false" outlineLevel="0" collapsed="false">
      <c r="A2" s="2" t="s">
        <v>203</v>
      </c>
    </row>
    <row r="4" customFormat="false" ht="23.85" hidden="false" customHeight="false" outlineLevel="0" collapsed="false">
      <c r="A4" s="7" t="s">
        <v>123</v>
      </c>
      <c r="E4" s="3" t="s">
        <v>124</v>
      </c>
      <c r="F4" s="3" t="s">
        <v>125</v>
      </c>
      <c r="G4" s="3" t="s">
        <v>126</v>
      </c>
      <c r="H4" s="3" t="s">
        <v>127</v>
      </c>
      <c r="I4" s="3" t="s">
        <v>128</v>
      </c>
      <c r="J4" s="3" t="s">
        <v>129</v>
      </c>
    </row>
    <row r="5" customFormat="false" ht="15" hidden="false" customHeight="false" outlineLevel="0" collapsed="false">
      <c r="A5" s="11" t="s">
        <v>130</v>
      </c>
      <c r="B5" s="12" t="n">
        <v>1254698741</v>
      </c>
      <c r="E5" s="13" t="n">
        <v>1</v>
      </c>
      <c r="F5" s="14" t="n">
        <f aca="false">$B$5</f>
        <v>1254698741</v>
      </c>
      <c r="G5" s="14" t="n">
        <f aca="false">F5*$B$13</f>
        <v>13320066.7287279</v>
      </c>
      <c r="H5" s="14" t="n">
        <f aca="false">I5-G5</f>
        <v>-2205548.09610161</v>
      </c>
      <c r="I5" s="14" t="n">
        <f aca="false">$B$18+$B$17*(E5-1)</f>
        <v>11114518.6326263</v>
      </c>
      <c r="J5" s="14" t="n">
        <f aca="false">ROUND(F5-H5,2)</f>
        <v>1256904289.1</v>
      </c>
    </row>
    <row r="6" customFormat="false" ht="15" hidden="false" customHeight="false" outlineLevel="0" collapsed="false">
      <c r="A6" s="11" t="s">
        <v>167</v>
      </c>
      <c r="B6" s="15" t="n">
        <v>0.1267</v>
      </c>
      <c r="C6" s="16" t="s">
        <v>134</v>
      </c>
      <c r="E6" s="13" t="n">
        <v>2</v>
      </c>
      <c r="F6" s="14" t="n">
        <f aca="false">J5</f>
        <v>1256904289.1</v>
      </c>
      <c r="G6" s="14" t="n">
        <f aca="false">F6*$B$13</f>
        <v>13343481.1523703</v>
      </c>
      <c r="H6" s="14" t="n">
        <f aca="false">I6-G6</f>
        <v>-2118962.51974405</v>
      </c>
      <c r="I6" s="14" t="n">
        <f aca="false">$B$18+$B$17*(E6-1)</f>
        <v>11224518.6326263</v>
      </c>
      <c r="J6" s="14" t="n">
        <f aca="false">ROUND(F6-H6,2)</f>
        <v>1259023251.62</v>
      </c>
    </row>
    <row r="7" customFormat="false" ht="15" hidden="false" customHeight="false" outlineLevel="0" collapsed="false">
      <c r="A7" s="11" t="s">
        <v>169</v>
      </c>
      <c r="B7" s="17" t="n">
        <v>12</v>
      </c>
      <c r="E7" s="13" t="n">
        <v>3</v>
      </c>
      <c r="F7" s="14" t="n">
        <f aca="false">J6</f>
        <v>1259023251.62</v>
      </c>
      <c r="G7" s="14" t="n">
        <f aca="false">F7*$B$13</f>
        <v>13365976.3707361</v>
      </c>
      <c r="H7" s="14" t="n">
        <f aca="false">I7-G7</f>
        <v>-2031457.73810984</v>
      </c>
      <c r="I7" s="14" t="n">
        <f aca="false">$B$18+$B$17*(E7-1)</f>
        <v>11334518.6326263</v>
      </c>
      <c r="J7" s="14" t="n">
        <f aca="false">ROUND(F7-H7,2)</f>
        <v>1261054709.36</v>
      </c>
    </row>
    <row r="8" customFormat="false" ht="15" hidden="false" customHeight="false" outlineLevel="0" collapsed="false">
      <c r="E8" s="13" t="n">
        <v>4</v>
      </c>
      <c r="F8" s="14" t="n">
        <f aca="false">J7</f>
        <v>1261054709.36</v>
      </c>
      <c r="G8" s="14" t="n">
        <f aca="false">F8*$B$13</f>
        <v>13387542.6254626</v>
      </c>
      <c r="H8" s="14" t="n">
        <f aca="false">I8-G8</f>
        <v>-1943023.99283631</v>
      </c>
      <c r="I8" s="14" t="n">
        <f aca="false">$B$18+$B$17*(E8-1)</f>
        <v>11444518.6326263</v>
      </c>
      <c r="J8" s="14" t="n">
        <f aca="false">ROUND(F8-H8,2)</f>
        <v>1262997733.35</v>
      </c>
    </row>
    <row r="9" customFormat="false" ht="15" hidden="false" customHeight="false" outlineLevel="0" collapsed="false">
      <c r="A9" s="7" t="s">
        <v>136</v>
      </c>
      <c r="E9" s="13" t="n">
        <v>5</v>
      </c>
      <c r="F9" s="14" t="n">
        <f aca="false">J8</f>
        <v>1262997733.35</v>
      </c>
      <c r="G9" s="14" t="n">
        <f aca="false">F9*$B$13</f>
        <v>13408170.0544673</v>
      </c>
      <c r="H9" s="14" t="n">
        <f aca="false">I9-G9</f>
        <v>-1853651.42184106</v>
      </c>
      <c r="I9" s="14" t="n">
        <f aca="false">$B$18+$B$17*(E9-1)</f>
        <v>11554518.6326263</v>
      </c>
      <c r="J9" s="14" t="n">
        <f aca="false">ROUND(F9-H9,2)</f>
        <v>1264851384.77</v>
      </c>
    </row>
    <row r="10" customFormat="false" ht="15" hidden="false" customHeight="false" outlineLevel="0" collapsed="false">
      <c r="A10" s="11" t="s">
        <v>171</v>
      </c>
      <c r="B10" s="18" t="n">
        <f aca="false">$B$6/360</f>
        <v>0.000351944444444444</v>
      </c>
      <c r="E10" s="13" t="n">
        <v>6</v>
      </c>
      <c r="F10" s="14" t="n">
        <f aca="false">J9</f>
        <v>1264851384.77</v>
      </c>
      <c r="G10" s="14" t="n">
        <f aca="false">F10*$B$13</f>
        <v>13427848.6910989</v>
      </c>
      <c r="H10" s="14" t="n">
        <f aca="false">I10-G10</f>
        <v>-1763330.05847261</v>
      </c>
      <c r="I10" s="14" t="n">
        <f aca="false">$B$18+$B$17*(E10-1)</f>
        <v>11664518.6326263</v>
      </c>
      <c r="J10" s="14" t="n">
        <f aca="false">ROUND(F10-H10,2)</f>
        <v>1266614714.83</v>
      </c>
    </row>
    <row r="11" customFormat="false" ht="15" hidden="false" customHeight="false" outlineLevel="0" collapsed="false">
      <c r="A11" s="11" t="s">
        <v>172</v>
      </c>
      <c r="B11" s="27" t="n">
        <f aca="false">$B$10/(1-$B$10)</f>
        <v>0.000352068352945328</v>
      </c>
      <c r="E11" s="13" t="n">
        <v>7</v>
      </c>
      <c r="F11" s="14" t="n">
        <f aca="false">J10</f>
        <v>1266614714.83</v>
      </c>
      <c r="G11" s="14" t="n">
        <f aca="false">F11*$B$13</f>
        <v>13446568.4628628</v>
      </c>
      <c r="H11" s="14" t="n">
        <f aca="false">I11-G11</f>
        <v>-1672049.83023651</v>
      </c>
      <c r="I11" s="14" t="n">
        <f aca="false">$B$18+$B$17*(E11-1)</f>
        <v>11774518.6326263</v>
      </c>
      <c r="J11" s="14" t="n">
        <f aca="false">ROUND(F11-H11,2)</f>
        <v>1268286764.66</v>
      </c>
    </row>
    <row r="12" customFormat="false" ht="15" hidden="false" customHeight="false" outlineLevel="0" collapsed="false">
      <c r="A12" s="11" t="s">
        <v>158</v>
      </c>
      <c r="B12" s="18" t="n">
        <f aca="false">(1+$B$11)^360-1</f>
        <v>0.135101757288315</v>
      </c>
      <c r="E12" s="13" t="n">
        <v>8</v>
      </c>
      <c r="F12" s="14" t="n">
        <f aca="false">J11</f>
        <v>1268286764.66</v>
      </c>
      <c r="G12" s="14" t="n">
        <f aca="false">F12*$B$13</f>
        <v>13464319.1902538</v>
      </c>
      <c r="H12" s="14" t="n">
        <f aca="false">I12-G12</f>
        <v>-1579800.55762754</v>
      </c>
      <c r="I12" s="14" t="n">
        <f aca="false">$B$18+$B$17*(E12-1)</f>
        <v>11884518.6326263</v>
      </c>
      <c r="J12" s="14" t="n">
        <f aca="false">ROUND(F12-H12,2)</f>
        <v>1269866565.22</v>
      </c>
    </row>
    <row r="13" customFormat="false" ht="15" hidden="false" customHeight="false" outlineLevel="0" collapsed="false">
      <c r="A13" s="11" t="s">
        <v>204</v>
      </c>
      <c r="B13" s="19" t="n">
        <f aca="false">(1+$B$11)^30-1</f>
        <v>0.0106161473614868</v>
      </c>
      <c r="C13" s="16" t="s">
        <v>205</v>
      </c>
      <c r="E13" s="13" t="n">
        <v>9</v>
      </c>
      <c r="F13" s="14" t="n">
        <f aca="false">J12</f>
        <v>1269866565.22</v>
      </c>
      <c r="G13" s="14" t="n">
        <f aca="false">F13*$B$13</f>
        <v>13481090.5858005</v>
      </c>
      <c r="H13" s="14" t="n">
        <f aca="false">I13-G13</f>
        <v>-1486571.95317426</v>
      </c>
      <c r="I13" s="14" t="n">
        <f aca="false">$B$18+$B$17*(E13-1)</f>
        <v>11994518.6326263</v>
      </c>
      <c r="J13" s="14" t="n">
        <f aca="false">ROUND(F13-H13,2)</f>
        <v>1271353137.17</v>
      </c>
    </row>
    <row r="14" customFormat="false" ht="15" hidden="false" customHeight="false" outlineLevel="0" collapsed="false">
      <c r="A14" s="11" t="s">
        <v>206</v>
      </c>
      <c r="B14" s="20" t="n">
        <f aca="false">$B$7*12</f>
        <v>144</v>
      </c>
      <c r="E14" s="13" t="n">
        <v>10</v>
      </c>
      <c r="F14" s="14" t="n">
        <f aca="false">J13</f>
        <v>1271353137.17</v>
      </c>
      <c r="G14" s="14" t="n">
        <f aca="false">F14*$B$13</f>
        <v>13496872.2526852</v>
      </c>
      <c r="H14" s="14" t="n">
        <f aca="false">I14-G14</f>
        <v>-1392353.62005891</v>
      </c>
      <c r="I14" s="14" t="n">
        <f aca="false">$B$18+$B$17*(E14-1)</f>
        <v>12104518.6326263</v>
      </c>
      <c r="J14" s="14" t="n">
        <f aca="false">ROUND(F14-H14,2)</f>
        <v>1272745490.79</v>
      </c>
    </row>
    <row r="15" customFormat="false" ht="15" hidden="false" customHeight="false" outlineLevel="0" collapsed="false">
      <c r="E15" s="13" t="n">
        <v>11</v>
      </c>
      <c r="F15" s="14" t="n">
        <f aca="false">J14</f>
        <v>1272745490.79</v>
      </c>
      <c r="G15" s="14" t="n">
        <f aca="false">F15*$B$13</f>
        <v>13511653.6838944</v>
      </c>
      <c r="H15" s="14" t="n">
        <f aca="false">I15-G15</f>
        <v>-1297135.05126813</v>
      </c>
      <c r="I15" s="14" t="n">
        <f aca="false">$B$18+$B$17*(E15-1)</f>
        <v>12214518.6326263</v>
      </c>
      <c r="J15" s="14" t="n">
        <f aca="false">ROUND(F15-H15,2)</f>
        <v>1274042625.84</v>
      </c>
    </row>
    <row r="16" customFormat="false" ht="15" hidden="false" customHeight="false" outlineLevel="0" collapsed="false">
      <c r="A16" s="7" t="s">
        <v>128</v>
      </c>
      <c r="E16" s="13" t="n">
        <v>12</v>
      </c>
      <c r="F16" s="14" t="n">
        <f aca="false">J15</f>
        <v>1274042625.84</v>
      </c>
      <c r="G16" s="14" t="n">
        <f aca="false">F16*$B$13</f>
        <v>13525424.260733</v>
      </c>
      <c r="H16" s="14" t="n">
        <f aca="false">I16-G16</f>
        <v>-1200905.62810668</v>
      </c>
      <c r="I16" s="14" t="n">
        <f aca="false">$B$18+$B$17*(E16-1)</f>
        <v>12324518.6326263</v>
      </c>
      <c r="J16" s="14" t="n">
        <f aca="false">ROUND(F16-H16,2)</f>
        <v>1275243531.47</v>
      </c>
    </row>
    <row r="17" customFormat="false" ht="15" hidden="false" customHeight="false" outlineLevel="0" collapsed="false">
      <c r="A17" s="11" t="s">
        <v>207</v>
      </c>
      <c r="B17" s="12" t="n">
        <v>110000</v>
      </c>
      <c r="E17" s="13" t="n">
        <v>13</v>
      </c>
      <c r="F17" s="14" t="n">
        <f aca="false">J16</f>
        <v>1275243531.47</v>
      </c>
      <c r="G17" s="14" t="n">
        <f aca="false">F17*$B$13</f>
        <v>13538173.2518683</v>
      </c>
      <c r="H17" s="14" t="n">
        <f aca="false">I17-G17</f>
        <v>-1103654.619242</v>
      </c>
      <c r="I17" s="14" t="n">
        <f aca="false">$B$18+$B$17*(E17-1)</f>
        <v>12434518.6326263</v>
      </c>
      <c r="J17" s="14" t="n">
        <f aca="false">ROUND(F17-H17,2)</f>
        <v>1276347186.09</v>
      </c>
    </row>
    <row r="18" customFormat="false" ht="15" hidden="false" customHeight="false" outlineLevel="0" collapsed="false">
      <c r="A18" s="11" t="s">
        <v>208</v>
      </c>
      <c r="B18" s="21" t="n">
        <f aca="false">($B$5-$B$17/$B$13*((1-(1+$B$13)^-$B$14)/$B$13-$B$14/(1+$B$13)^$B$14))/((1-(1+$B$13)^-$B$14)/$B$13)</f>
        <v>11114518.6326263</v>
      </c>
      <c r="C18" s="16" t="s">
        <v>209</v>
      </c>
      <c r="E18" s="13" t="n">
        <v>14</v>
      </c>
      <c r="F18" s="14" t="n">
        <f aca="false">J17</f>
        <v>1276347186.09</v>
      </c>
      <c r="G18" s="14" t="n">
        <f aca="false">F18*$B$13</f>
        <v>13549889.8119504</v>
      </c>
      <c r="H18" s="14" t="n">
        <f aca="false">I18-G18</f>
        <v>-1005371.1793241</v>
      </c>
      <c r="I18" s="14" t="n">
        <f aca="false">$B$18+$B$17*(E18-1)</f>
        <v>12544518.6326263</v>
      </c>
      <c r="J18" s="14" t="n">
        <f aca="false">ROUND(F18-H18,2)</f>
        <v>1277352557.27</v>
      </c>
    </row>
    <row r="19" customFormat="false" ht="15" hidden="false" customHeight="false" outlineLevel="0" collapsed="false">
      <c r="E19" s="13" t="n">
        <v>15</v>
      </c>
      <c r="F19" s="14" t="n">
        <f aca="false">J18</f>
        <v>1277352557.27</v>
      </c>
      <c r="G19" s="14" t="n">
        <f aca="false">F19*$B$13</f>
        <v>13560562.9805503</v>
      </c>
      <c r="H19" s="14" t="n">
        <f aca="false">I19-G19</f>
        <v>-906044.347923974</v>
      </c>
      <c r="I19" s="14" t="n">
        <f aca="false">$B$18+$B$17*(E19-1)</f>
        <v>12654518.6326263</v>
      </c>
      <c r="J19" s="14" t="n">
        <f aca="false">ROUND(F19-H19,2)</f>
        <v>1278258601.62</v>
      </c>
    </row>
    <row r="20" customFormat="false" ht="15" hidden="false" customHeight="false" outlineLevel="0" collapsed="false">
      <c r="A20" s="7" t="s">
        <v>143</v>
      </c>
      <c r="E20" s="13" t="n">
        <v>16</v>
      </c>
      <c r="F20" s="14" t="n">
        <f aca="false">J19</f>
        <v>1278258601.62</v>
      </c>
      <c r="G20" s="14" t="n">
        <f aca="false">F20*$B$13</f>
        <v>13570181.6808859</v>
      </c>
      <c r="H20" s="14" t="n">
        <f aca="false">I20-G20</f>
        <v>-805663.048259614</v>
      </c>
      <c r="I20" s="14" t="n">
        <f aca="false">$B$18+$B$17*(E20-1)</f>
        <v>12764518.6326263</v>
      </c>
      <c r="J20" s="14" t="n">
        <f aca="false">ROUND(F20-H20,2)</f>
        <v>1279064264.67</v>
      </c>
    </row>
    <row r="21" customFormat="false" ht="15" hidden="false" customHeight="false" outlineLevel="0" collapsed="false">
      <c r="A21" s="11" t="s">
        <v>144</v>
      </c>
      <c r="B21" s="22" t="n">
        <f aca="false">SUM(G5:G148)</f>
        <v>1478351942.204</v>
      </c>
      <c r="E21" s="13" t="n">
        <v>17</v>
      </c>
      <c r="F21" s="14" t="n">
        <f aca="false">J20</f>
        <v>1279064264.67</v>
      </c>
      <c r="G21" s="14" t="n">
        <f aca="false">F21*$B$13</f>
        <v>13578734.7185484</v>
      </c>
      <c r="H21" s="14" t="n">
        <f aca="false">I21-G21</f>
        <v>-704216.085922122</v>
      </c>
      <c r="I21" s="14" t="n">
        <f aca="false">$B$18+$B$17*(E21-1)</f>
        <v>12874518.6326263</v>
      </c>
      <c r="J21" s="14" t="n">
        <f aca="false">ROUND(F21-H21,2)</f>
        <v>1279768480.76</v>
      </c>
    </row>
    <row r="22" customFormat="false" ht="15" hidden="false" customHeight="false" outlineLevel="0" collapsed="false">
      <c r="A22" s="11" t="s">
        <v>145</v>
      </c>
      <c r="B22" s="14" t="n">
        <f aca="false">SUM(I5:I148)</f>
        <v>2733050683.09819</v>
      </c>
      <c r="E22" s="13" t="n">
        <v>18</v>
      </c>
      <c r="F22" s="14" t="n">
        <f aca="false">J21</f>
        <v>1279768480.76</v>
      </c>
      <c r="G22" s="14" t="n">
        <f aca="false">F22*$B$13</f>
        <v>13586210.7803342</v>
      </c>
      <c r="H22" s="14" t="n">
        <f aca="false">I22-G22</f>
        <v>-601692.147707891</v>
      </c>
      <c r="I22" s="14" t="n">
        <f aca="false">$B$18+$B$17*(E22-1)</f>
        <v>12984518.6326263</v>
      </c>
      <c r="J22" s="14" t="n">
        <f aca="false">ROUND(F22-H22,2)</f>
        <v>1280370172.91</v>
      </c>
    </row>
    <row r="23" customFormat="false" ht="15" hidden="false" customHeight="false" outlineLevel="0" collapsed="false">
      <c r="A23" s="11" t="s">
        <v>146</v>
      </c>
      <c r="B23" s="23" t="n">
        <f aca="false">J148</f>
        <v>0.15</v>
      </c>
      <c r="E23" s="13" t="n">
        <v>19</v>
      </c>
      <c r="F23" s="14" t="n">
        <f aca="false">J22</f>
        <v>1280370172.91</v>
      </c>
      <c r="G23" s="14" t="n">
        <f aca="false">F23*$B$13</f>
        <v>13592598.4328648</v>
      </c>
      <c r="H23" s="14" t="n">
        <f aca="false">I23-G23</f>
        <v>-498079.80023854</v>
      </c>
      <c r="I23" s="14" t="n">
        <f aca="false">$B$18+$B$17*(E23-1)</f>
        <v>13094518.6326263</v>
      </c>
      <c r="J23" s="14" t="n">
        <f aca="false">ROUND(F23-H23,2)</f>
        <v>1280868252.71</v>
      </c>
    </row>
    <row r="24" customFormat="false" ht="15" hidden="false" customHeight="false" outlineLevel="0" collapsed="false">
      <c r="A24" s="11" t="s">
        <v>147</v>
      </c>
      <c r="B24" s="14" t="n">
        <f aca="false">NPV($B$13,I5:I148)</f>
        <v>1254698741</v>
      </c>
      <c r="E24" s="13" t="n">
        <v>20</v>
      </c>
      <c r="F24" s="14" t="n">
        <f aca="false">J23</f>
        <v>1280868252.71</v>
      </c>
      <c r="G24" s="14" t="n">
        <f aca="false">F24*$B$13</f>
        <v>13597886.1214194</v>
      </c>
      <c r="H24" s="14" t="n">
        <f aca="false">I24-G24</f>
        <v>-393367.48879312</v>
      </c>
      <c r="I24" s="14" t="n">
        <f aca="false">$B$18+$B$17*(E24-1)</f>
        <v>13204518.6326263</v>
      </c>
      <c r="J24" s="14" t="n">
        <f aca="false">ROUND(F24-H24,2)</f>
        <v>1281261620.2</v>
      </c>
    </row>
    <row r="25" customFormat="false" ht="15" hidden="false" customHeight="false" outlineLevel="0" collapsed="false">
      <c r="A25" s="11" t="s">
        <v>148</v>
      </c>
      <c r="B25" s="24" t="str">
        <f aca="false">IF(AND(ABS(J148)&lt;1,ABS(B24-$B$5)&lt;1),"Tabla correcta","Revisar")</f>
        <v>Tabla correcta</v>
      </c>
      <c r="E25" s="13" t="n">
        <v>21</v>
      </c>
      <c r="F25" s="14" t="n">
        <f aca="false">J24</f>
        <v>1281261620.2</v>
      </c>
      <c r="G25" s="14" t="n">
        <f aca="false">F25*$B$13</f>
        <v>13602062.1686605</v>
      </c>
      <c r="H25" s="14" t="n">
        <f aca="false">I25-G25</f>
        <v>-287543.53603418</v>
      </c>
      <c r="I25" s="14" t="n">
        <f aca="false">$B$18+$B$17*(E25-1)</f>
        <v>13314518.6326263</v>
      </c>
      <c r="J25" s="14" t="n">
        <f aca="false">ROUND(F25-H25,2)</f>
        <v>1281549163.74</v>
      </c>
    </row>
    <row r="26" customFormat="false" ht="15" hidden="false" customHeight="false" outlineLevel="0" collapsed="false">
      <c r="A26" s="11" t="s">
        <v>210</v>
      </c>
      <c r="B26" s="22" t="n">
        <f aca="false">INDEX(J5:J148,60)</f>
        <v>1196935704.77</v>
      </c>
      <c r="E26" s="13" t="n">
        <v>22</v>
      </c>
      <c r="F26" s="14" t="n">
        <f aca="false">J25</f>
        <v>1281549163.74</v>
      </c>
      <c r="G26" s="14" t="n">
        <f aca="false">F26*$B$13</f>
        <v>13605114.773254</v>
      </c>
      <c r="H26" s="14" t="n">
        <f aca="false">I26-G26</f>
        <v>-180596.140627662</v>
      </c>
      <c r="I26" s="14" t="n">
        <f aca="false">$B$18+$B$17*(E26-1)</f>
        <v>13424518.6326263</v>
      </c>
      <c r="J26" s="14" t="n">
        <f aca="false">ROUND(F26-H26,2)</f>
        <v>1281729759.88</v>
      </c>
    </row>
    <row r="27" customFormat="false" ht="15" hidden="false" customHeight="false" outlineLevel="0" collapsed="false">
      <c r="A27" s="11" t="s">
        <v>211</v>
      </c>
      <c r="B27" s="22" t="n">
        <f aca="false">$B$18+$B$17*($B$14-1)</f>
        <v>26844518.6326263</v>
      </c>
      <c r="E27" s="13" t="n">
        <v>23</v>
      </c>
      <c r="F27" s="14" t="n">
        <f aca="false">J26</f>
        <v>1281729759.88</v>
      </c>
      <c r="G27" s="14" t="n">
        <f aca="false">F27*$B$13</f>
        <v>13607032.0084891</v>
      </c>
      <c r="H27" s="14" t="n">
        <f aca="false">I27-G27</f>
        <v>-72513.3758628182</v>
      </c>
      <c r="I27" s="14" t="n">
        <f aca="false">$B$18+$B$17*(E27-1)</f>
        <v>13534518.6326263</v>
      </c>
      <c r="J27" s="14" t="n">
        <f aca="false">ROUND(F27-H27,2)</f>
        <v>1281802273.26</v>
      </c>
    </row>
    <row r="28" customFormat="false" ht="15" hidden="false" customHeight="false" outlineLevel="0" collapsed="false">
      <c r="E28" s="13" t="n">
        <v>24</v>
      </c>
      <c r="F28" s="14" t="n">
        <f aca="false">J27</f>
        <v>1281802273.26</v>
      </c>
      <c r="G28" s="14" t="n">
        <f aca="false">F28*$B$13</f>
        <v>13607801.8212169</v>
      </c>
      <c r="H28" s="14" t="n">
        <f aca="false">I28-G28</f>
        <v>36716.8114094231</v>
      </c>
      <c r="I28" s="14" t="n">
        <f aca="false">$B$18+$B$17*(E28-1)</f>
        <v>13644518.6326263</v>
      </c>
      <c r="J28" s="14" t="n">
        <f aca="false">ROUND(F28-H28,2)</f>
        <v>1281765556.45</v>
      </c>
    </row>
    <row r="29" customFormat="false" ht="15" hidden="false" customHeight="false" outlineLevel="0" collapsed="false">
      <c r="E29" s="13" t="n">
        <v>25</v>
      </c>
      <c r="F29" s="14" t="n">
        <f aca="false">J28</f>
        <v>1281765556.45</v>
      </c>
      <c r="G29" s="14" t="n">
        <f aca="false">F29*$B$13</f>
        <v>13607412.0301513</v>
      </c>
      <c r="H29" s="14" t="n">
        <f aca="false">I29-G29</f>
        <v>147106.602475027</v>
      </c>
      <c r="I29" s="14" t="n">
        <f aca="false">$B$18+$B$17*(E29-1)</f>
        <v>13754518.6326263</v>
      </c>
      <c r="J29" s="14" t="n">
        <f aca="false">ROUND(F29-H29,2)</f>
        <v>1281618449.85</v>
      </c>
    </row>
    <row r="30" customFormat="false" ht="15" hidden="false" customHeight="false" outlineLevel="0" collapsed="false">
      <c r="E30" s="13" t="n">
        <v>26</v>
      </c>
      <c r="F30" s="14" t="n">
        <f aca="false">J29</f>
        <v>1281618449.85</v>
      </c>
      <c r="G30" s="14" t="n">
        <f aca="false">F30*$B$13</f>
        <v>13605850.3248078</v>
      </c>
      <c r="H30" s="14" t="n">
        <f aca="false">I30-G30</f>
        <v>258668.307818474</v>
      </c>
      <c r="I30" s="14" t="n">
        <f aca="false">$B$18+$B$17*(E30-1)</f>
        <v>13864518.6326263</v>
      </c>
      <c r="J30" s="14" t="n">
        <f aca="false">ROUND(F30-H30,2)</f>
        <v>1281359781.54</v>
      </c>
    </row>
    <row r="31" customFormat="false" ht="15" hidden="false" customHeight="false" outlineLevel="0" collapsed="false">
      <c r="E31" s="13" t="n">
        <v>27</v>
      </c>
      <c r="F31" s="14" t="n">
        <f aca="false">J30</f>
        <v>1281359781.54</v>
      </c>
      <c r="G31" s="14" t="n">
        <f aca="false">F31*$B$13</f>
        <v>13603104.2639111</v>
      </c>
      <c r="H31" s="14" t="n">
        <f aca="false">I31-G31</f>
        <v>371414.36871518</v>
      </c>
      <c r="I31" s="14" t="n">
        <f aca="false">$B$18+$B$17*(E31-1)</f>
        <v>13974518.6326263</v>
      </c>
      <c r="J31" s="14" t="n">
        <f aca="false">ROUND(F31-H31,2)</f>
        <v>1280988367.17</v>
      </c>
    </row>
    <row r="32" customFormat="false" ht="15" hidden="false" customHeight="false" outlineLevel="0" collapsed="false">
      <c r="E32" s="13" t="n">
        <v>28</v>
      </c>
      <c r="F32" s="14" t="n">
        <f aca="false">J31</f>
        <v>1280988367.17</v>
      </c>
      <c r="G32" s="14" t="n">
        <f aca="false">F32*$B$13</f>
        <v>13599161.274227</v>
      </c>
      <c r="H32" s="14" t="n">
        <f aca="false">I32-G32</f>
        <v>485357.358399274</v>
      </c>
      <c r="I32" s="14" t="n">
        <f aca="false">$B$18+$B$17*(E32-1)</f>
        <v>14084518.6326263</v>
      </c>
      <c r="J32" s="14" t="n">
        <f aca="false">ROUND(F32-H32,2)</f>
        <v>1280503009.81</v>
      </c>
    </row>
    <row r="33" customFormat="false" ht="15" hidden="false" customHeight="false" outlineLevel="0" collapsed="false">
      <c r="E33" s="13" t="n">
        <v>29</v>
      </c>
      <c r="F33" s="14" t="n">
        <f aca="false">J32</f>
        <v>1280503009.81</v>
      </c>
      <c r="G33" s="14" t="n">
        <f aca="false">F33*$B$13</f>
        <v>13594008.6489703</v>
      </c>
      <c r="H33" s="14" t="n">
        <f aca="false">I33-G33</f>
        <v>600509.983656017</v>
      </c>
      <c r="I33" s="14" t="n">
        <f aca="false">$B$18+$B$17*(E33-1)</f>
        <v>14194518.6326263</v>
      </c>
      <c r="J33" s="14" t="n">
        <f aca="false">ROUND(F33-H33,2)</f>
        <v>1279902499.83</v>
      </c>
    </row>
    <row r="34" customFormat="false" ht="15" hidden="false" customHeight="false" outlineLevel="0" collapsed="false">
      <c r="E34" s="13" t="n">
        <v>30</v>
      </c>
      <c r="F34" s="14" t="n">
        <f aca="false">J33</f>
        <v>1279902499.83</v>
      </c>
      <c r="G34" s="14" t="n">
        <f aca="false">F34*$B$13</f>
        <v>13587633.5465305</v>
      </c>
      <c r="H34" s="14" t="n">
        <f aca="false">I34-G34</f>
        <v>716885.086095741</v>
      </c>
      <c r="I34" s="14" t="n">
        <f aca="false">$B$18+$B$17*(E34-1)</f>
        <v>14304518.6326263</v>
      </c>
      <c r="J34" s="14" t="n">
        <f aca="false">ROUND(F34-H34,2)</f>
        <v>1279185614.74</v>
      </c>
    </row>
    <row r="35" customFormat="false" ht="15" hidden="false" customHeight="false" outlineLevel="0" collapsed="false">
      <c r="E35" s="13" t="n">
        <v>31</v>
      </c>
      <c r="F35" s="14" t="n">
        <f aca="false">J34</f>
        <v>1279185614.74</v>
      </c>
      <c r="G35" s="14" t="n">
        <f aca="false">F35*$B$13</f>
        <v>13580022.9887739</v>
      </c>
      <c r="H35" s="14" t="n">
        <f aca="false">I35-G35</f>
        <v>834495.643852433</v>
      </c>
      <c r="I35" s="14" t="n">
        <f aca="false">$B$18+$B$17*(E35-1)</f>
        <v>14414518.6326263</v>
      </c>
      <c r="J35" s="14" t="n">
        <f aca="false">ROUND(F35-H35,2)</f>
        <v>1278351119.1</v>
      </c>
    </row>
    <row r="36" customFormat="false" ht="15" hidden="false" customHeight="false" outlineLevel="0" collapsed="false">
      <c r="E36" s="13" t="n">
        <v>32</v>
      </c>
      <c r="F36" s="14" t="n">
        <f aca="false">J35</f>
        <v>1278351119.1</v>
      </c>
      <c r="G36" s="14" t="n">
        <f aca="false">F36*$B$13</f>
        <v>13571163.8600871</v>
      </c>
      <c r="H36" s="14" t="n">
        <f aca="false">I36-G36</f>
        <v>953354.772539191</v>
      </c>
      <c r="I36" s="14" t="n">
        <f aca="false">$B$18+$B$17*(E36-1)</f>
        <v>14524518.6326263</v>
      </c>
      <c r="J36" s="14" t="n">
        <f aca="false">ROUND(F36-H36,2)</f>
        <v>1277397764.33</v>
      </c>
    </row>
    <row r="37" customFormat="false" ht="15" hidden="false" customHeight="false" outlineLevel="0" collapsed="false">
      <c r="E37" s="13" t="n">
        <v>33</v>
      </c>
      <c r="F37" s="14" t="n">
        <f aca="false">J36</f>
        <v>1277397764.33</v>
      </c>
      <c r="G37" s="14" t="n">
        <f aca="false">F37*$B$13</f>
        <v>13561042.905361</v>
      </c>
      <c r="H37" s="14" t="n">
        <f aca="false">I37-G37</f>
        <v>1073475.72726529</v>
      </c>
      <c r="I37" s="14" t="n">
        <f aca="false">$B$18+$B$17*(E37-1)</f>
        <v>14634518.6326263</v>
      </c>
      <c r="J37" s="14" t="n">
        <f aca="false">ROUND(F37-H37,2)</f>
        <v>1276324288.6</v>
      </c>
    </row>
    <row r="38" customFormat="false" ht="15" hidden="false" customHeight="false" outlineLevel="0" collapsed="false">
      <c r="E38" s="13" t="n">
        <v>34</v>
      </c>
      <c r="F38" s="14" t="n">
        <f aca="false">J37</f>
        <v>1276324288.6</v>
      </c>
      <c r="G38" s="14" t="n">
        <f aca="false">F38*$B$13</f>
        <v>13549646.7288223</v>
      </c>
      <c r="H38" s="14" t="n">
        <f aca="false">I38-G38</f>
        <v>1194871.90380395</v>
      </c>
      <c r="I38" s="14" t="n">
        <f aca="false">$B$18+$B$17*(E38-1)</f>
        <v>14744518.6326263</v>
      </c>
      <c r="J38" s="14" t="n">
        <f aca="false">ROUND(F38-H38,2)</f>
        <v>1275129416.7</v>
      </c>
    </row>
    <row r="39" customFormat="false" ht="15" hidden="false" customHeight="false" outlineLevel="0" collapsed="false">
      <c r="E39" s="13" t="n">
        <v>35</v>
      </c>
      <c r="F39" s="14" t="n">
        <f aca="false">J38</f>
        <v>1275129416.7</v>
      </c>
      <c r="G39" s="14" t="n">
        <f aca="false">F39*$B$13</f>
        <v>13536961.7926538</v>
      </c>
      <c r="H39" s="14" t="n">
        <f aca="false">I39-G39</f>
        <v>1317556.83997245</v>
      </c>
      <c r="I39" s="14" t="n">
        <f aca="false">$B$18+$B$17*(E39-1)</f>
        <v>14854518.6326263</v>
      </c>
      <c r="J39" s="14" t="n">
        <f aca="false">ROUND(F39-H39,2)</f>
        <v>1273811859.86</v>
      </c>
    </row>
    <row r="40" customFormat="false" ht="15" hidden="false" customHeight="false" outlineLevel="0" collapsed="false">
      <c r="E40" s="13" t="n">
        <v>36</v>
      </c>
      <c r="F40" s="14" t="n">
        <f aca="false">J39</f>
        <v>1273811859.86</v>
      </c>
      <c r="G40" s="14" t="n">
        <f aca="false">F40*$B$13</f>
        <v>13522974.4150833</v>
      </c>
      <c r="H40" s="14" t="n">
        <f aca="false">I40-G40</f>
        <v>1441544.21754302</v>
      </c>
      <c r="I40" s="14" t="n">
        <f aca="false">$B$18+$B$17*(E40-1)</f>
        <v>14964518.6326263</v>
      </c>
      <c r="J40" s="14" t="n">
        <f aca="false">ROUND(F40-H40,2)</f>
        <v>1272370315.64</v>
      </c>
    </row>
    <row r="41" customFormat="false" ht="15" hidden="false" customHeight="false" outlineLevel="0" collapsed="false">
      <c r="E41" s="13" t="n">
        <v>37</v>
      </c>
      <c r="F41" s="14" t="n">
        <f aca="false">J40</f>
        <v>1272370315.64</v>
      </c>
      <c r="G41" s="14" t="n">
        <f aca="false">F41*$B$13</f>
        <v>13507670.7692157</v>
      </c>
      <c r="H41" s="14" t="n">
        <f aca="false">I41-G41</f>
        <v>1566847.86341064</v>
      </c>
      <c r="I41" s="14" t="n">
        <f aca="false">$B$18+$B$17*(E41-1)</f>
        <v>15074518.6326263</v>
      </c>
      <c r="J41" s="14" t="n">
        <f aca="false">ROUND(F41-H41,2)</f>
        <v>1270803467.78</v>
      </c>
    </row>
    <row r="42" customFormat="false" ht="15" hidden="false" customHeight="false" outlineLevel="0" collapsed="false">
      <c r="E42" s="13" t="n">
        <v>38</v>
      </c>
      <c r="F42" s="14" t="n">
        <f aca="false">J41</f>
        <v>1270803467.78</v>
      </c>
      <c r="G42" s="14" t="n">
        <f aca="false">F42*$B$13</f>
        <v>13491036.8814409</v>
      </c>
      <c r="H42" s="14" t="n">
        <f aca="false">I42-G42</f>
        <v>1693481.75118543</v>
      </c>
      <c r="I42" s="14" t="n">
        <f aca="false">$B$18+$B$17*(E42-1)</f>
        <v>15184518.6326263</v>
      </c>
      <c r="J42" s="14" t="n">
        <f aca="false">ROUND(F42-H42,2)</f>
        <v>1269109986.03</v>
      </c>
    </row>
    <row r="43" customFormat="false" ht="15" hidden="false" customHeight="false" outlineLevel="0" collapsed="false">
      <c r="E43" s="13" t="n">
        <v>39</v>
      </c>
      <c r="F43" s="14" t="n">
        <f aca="false">J42</f>
        <v>1269109986.03</v>
      </c>
      <c r="G43" s="14" t="n">
        <f aca="false">F43*$B$13</f>
        <v>13473058.6296289</v>
      </c>
      <c r="H43" s="14" t="n">
        <f aca="false">I43-G43</f>
        <v>1821460.00299742</v>
      </c>
      <c r="I43" s="14" t="n">
        <f aca="false">$B$18+$B$17*(E43-1)</f>
        <v>15294518.6326263</v>
      </c>
      <c r="J43" s="14" t="n">
        <f aca="false">ROUND(F43-H43,2)</f>
        <v>1267288526.03</v>
      </c>
    </row>
    <row r="44" customFormat="false" ht="15" hidden="false" customHeight="false" outlineLevel="0" collapsed="false">
      <c r="E44" s="13" t="n">
        <v>40</v>
      </c>
      <c r="F44" s="14" t="n">
        <f aca="false">J43</f>
        <v>1267288526.03</v>
      </c>
      <c r="G44" s="14" t="n">
        <f aca="false">F44*$B$13</f>
        <v>13453721.7418558</v>
      </c>
      <c r="H44" s="14" t="n">
        <f aca="false">I44-G44</f>
        <v>1950796.89077047</v>
      </c>
      <c r="I44" s="14" t="n">
        <f aca="false">$B$18+$B$17*(E44-1)</f>
        <v>15404518.6326263</v>
      </c>
      <c r="J44" s="14" t="n">
        <f aca="false">ROUND(F44-H44,2)</f>
        <v>1265337729.14</v>
      </c>
    </row>
    <row r="45" customFormat="false" ht="15" hidden="false" customHeight="false" outlineLevel="0" collapsed="false">
      <c r="E45" s="13" t="n">
        <v>41</v>
      </c>
      <c r="F45" s="14" t="n">
        <f aca="false">J44</f>
        <v>1265337729.14</v>
      </c>
      <c r="G45" s="14" t="n">
        <f aca="false">F45*$B$13</f>
        <v>13433011.7945992</v>
      </c>
      <c r="H45" s="14" t="n">
        <f aca="false">I45-G45</f>
        <v>2081506.83802704</v>
      </c>
      <c r="I45" s="14" t="n">
        <f aca="false">$B$18+$B$17*(E45-1)</f>
        <v>15514518.6326263</v>
      </c>
      <c r="J45" s="14" t="n">
        <f aca="false">ROUND(F45-H45,2)</f>
        <v>1263256222.3</v>
      </c>
    </row>
    <row r="46" customFormat="false" ht="15" hidden="false" customHeight="false" outlineLevel="0" collapsed="false">
      <c r="E46" s="13" t="n">
        <v>42</v>
      </c>
      <c r="F46" s="14" t="n">
        <f aca="false">J45</f>
        <v>1263256222.3</v>
      </c>
      <c r="G46" s="14" t="n">
        <f aca="false">F46*$B$13</f>
        <v>13410914.2112519</v>
      </c>
      <c r="H46" s="14" t="n">
        <f aca="false">I46-G46</f>
        <v>2213604.42137443</v>
      </c>
      <c r="I46" s="14" t="n">
        <f aca="false">$B$18+$B$17*(E46-1)</f>
        <v>15624518.6326263</v>
      </c>
      <c r="J46" s="14" t="n">
        <f aca="false">ROUND(F46-H46,2)</f>
        <v>1261042617.88</v>
      </c>
    </row>
    <row r="47" customFormat="false" ht="15" hidden="false" customHeight="false" outlineLevel="0" collapsed="false">
      <c r="E47" s="13" t="n">
        <v>43</v>
      </c>
      <c r="F47" s="14" t="n">
        <f aca="false">J46</f>
        <v>1261042617.88</v>
      </c>
      <c r="G47" s="14" t="n">
        <f aca="false">F47*$B$13</f>
        <v>13387414.2605291</v>
      </c>
      <c r="H47" s="14" t="n">
        <f aca="false">I47-G47</f>
        <v>2347104.37209718</v>
      </c>
      <c r="I47" s="14" t="n">
        <f aca="false">$B$18+$B$17*(E47-1)</f>
        <v>15734518.6326263</v>
      </c>
      <c r="J47" s="14" t="n">
        <f aca="false">ROUND(F47-H47,2)</f>
        <v>1258695513.51</v>
      </c>
    </row>
    <row r="48" customFormat="false" ht="15" hidden="false" customHeight="false" outlineLevel="0" collapsed="false">
      <c r="E48" s="13" t="n">
        <v>44</v>
      </c>
      <c r="F48" s="14" t="n">
        <f aca="false">J47</f>
        <v>1258695513.51</v>
      </c>
      <c r="G48" s="14" t="n">
        <f aca="false">F48*$B$13</f>
        <v>13362497.0546644</v>
      </c>
      <c r="H48" s="14" t="n">
        <f aca="false">I48-G48</f>
        <v>2482021.57796189</v>
      </c>
      <c r="I48" s="14" t="n">
        <f aca="false">$B$18+$B$17*(E48-1)</f>
        <v>15844518.6326263</v>
      </c>
      <c r="J48" s="14" t="n">
        <f aca="false">ROUND(F48-H48,2)</f>
        <v>1256213491.93</v>
      </c>
    </row>
    <row r="49" customFormat="false" ht="15" hidden="false" customHeight="false" outlineLevel="0" collapsed="false">
      <c r="E49" s="13" t="n">
        <v>45</v>
      </c>
      <c r="F49" s="14" t="n">
        <f aca="false">J48</f>
        <v>1256213491.93</v>
      </c>
      <c r="G49" s="14" t="n">
        <f aca="false">F49*$B$13</f>
        <v>13336147.5478167</v>
      </c>
      <c r="H49" s="14" t="n">
        <f aca="false">I49-G49</f>
        <v>2618371.08480956</v>
      </c>
      <c r="I49" s="14" t="n">
        <f aca="false">$B$18+$B$17*(E49-1)</f>
        <v>15954518.6326263</v>
      </c>
      <c r="J49" s="14" t="n">
        <f aca="false">ROUND(F49-H49,2)</f>
        <v>1253595120.85</v>
      </c>
    </row>
    <row r="50" customFormat="false" ht="15" hidden="false" customHeight="false" outlineLevel="0" collapsed="false">
      <c r="E50" s="13" t="n">
        <v>46</v>
      </c>
      <c r="F50" s="14" t="n">
        <f aca="false">J49</f>
        <v>1253595120.85</v>
      </c>
      <c r="G50" s="14" t="n">
        <f aca="false">F50*$B$13</f>
        <v>13308350.5345844</v>
      </c>
      <c r="H50" s="14" t="n">
        <f aca="false">I50-G50</f>
        <v>2756168.0980419</v>
      </c>
      <c r="I50" s="14" t="n">
        <f aca="false">$B$18+$B$17*(E50-1)</f>
        <v>16064518.6326263</v>
      </c>
      <c r="J50" s="14" t="n">
        <f aca="false">ROUND(F50-H50,2)</f>
        <v>1250838952.75</v>
      </c>
    </row>
    <row r="51" customFormat="false" ht="15" hidden="false" customHeight="false" outlineLevel="0" collapsed="false">
      <c r="E51" s="13" t="n">
        <v>47</v>
      </c>
      <c r="F51" s="14" t="n">
        <f aca="false">J50</f>
        <v>1250838952.75</v>
      </c>
      <c r="G51" s="14" t="n">
        <f aca="false">F51*$B$13</f>
        <v>13279090.6478818</v>
      </c>
      <c r="H51" s="14" t="n">
        <f aca="false">I51-G51</f>
        <v>2895427.98474453</v>
      </c>
      <c r="I51" s="14" t="n">
        <f aca="false">$B$18+$B$17*(E51-1)</f>
        <v>16174518.6326263</v>
      </c>
      <c r="J51" s="14" t="n">
        <f aca="false">ROUND(F51-H51,2)</f>
        <v>1247943524.77</v>
      </c>
    </row>
    <row r="52" customFormat="false" ht="15" hidden="false" customHeight="false" outlineLevel="0" collapsed="false">
      <c r="E52" s="13" t="n">
        <v>48</v>
      </c>
      <c r="F52" s="14" t="n">
        <f aca="false">J51</f>
        <v>1247943524.77</v>
      </c>
      <c r="G52" s="14" t="n">
        <f aca="false">F52*$B$13</f>
        <v>13248352.3577715</v>
      </c>
      <c r="H52" s="14" t="n">
        <f aca="false">I52-G52</f>
        <v>3036166.27485478</v>
      </c>
      <c r="I52" s="14" t="n">
        <f aca="false">$B$18+$B$17*(E52-1)</f>
        <v>16284518.6326263</v>
      </c>
      <c r="J52" s="14" t="n">
        <f aca="false">ROUND(F52-H52,2)</f>
        <v>1244907358.5</v>
      </c>
    </row>
    <row r="53" customFormat="false" ht="15" hidden="false" customHeight="false" outlineLevel="0" collapsed="false">
      <c r="E53" s="13" t="n">
        <v>49</v>
      </c>
      <c r="F53" s="14" t="n">
        <f aca="false">J52</f>
        <v>1244907358.5</v>
      </c>
      <c r="G53" s="14" t="n">
        <f aca="false">F53*$B$13</f>
        <v>13216119.9692352</v>
      </c>
      <c r="H53" s="14" t="n">
        <f aca="false">I53-G53</f>
        <v>3178398.66339108</v>
      </c>
      <c r="I53" s="14" t="n">
        <f aca="false">$B$18+$B$17*(E53-1)</f>
        <v>16394518.6326263</v>
      </c>
      <c r="J53" s="14" t="n">
        <f aca="false">ROUND(F53-H53,2)</f>
        <v>1241728959.84</v>
      </c>
    </row>
    <row r="54" customFormat="false" ht="15" hidden="false" customHeight="false" outlineLevel="0" collapsed="false">
      <c r="E54" s="13" t="n">
        <v>50</v>
      </c>
      <c r="F54" s="14" t="n">
        <f aca="false">J53</f>
        <v>1241728959.84</v>
      </c>
      <c r="G54" s="14" t="n">
        <f aca="false">F54*$B$13</f>
        <v>13182377.6206871</v>
      </c>
      <c r="H54" s="14" t="n">
        <f aca="false">I54-G54</f>
        <v>3322141.01193919</v>
      </c>
      <c r="I54" s="14" t="n">
        <f aca="false">$B$18+$B$17*(E54-1)</f>
        <v>16504518.6326263</v>
      </c>
      <c r="J54" s="14" t="n">
        <f aca="false">ROUND(F54-H54,2)</f>
        <v>1238406818.83</v>
      </c>
    </row>
    <row r="55" customFormat="false" ht="15" hidden="false" customHeight="false" outlineLevel="0" collapsed="false">
      <c r="E55" s="13" t="n">
        <v>51</v>
      </c>
      <c r="F55" s="14" t="n">
        <f aca="false">J54</f>
        <v>1238406818.83</v>
      </c>
      <c r="G55" s="14" t="n">
        <f aca="false">F55*$B$13</f>
        <v>13147109.2821693</v>
      </c>
      <c r="H55" s="14" t="n">
        <f aca="false">I55-G55</f>
        <v>3467409.35045699</v>
      </c>
      <c r="I55" s="14" t="n">
        <f aca="false">$B$18+$B$17*(E55-1)</f>
        <v>16614518.6326263</v>
      </c>
      <c r="J55" s="14" t="n">
        <f aca="false">ROUND(F55-H55,2)</f>
        <v>1234939409.48</v>
      </c>
    </row>
    <row r="56" customFormat="false" ht="15" hidden="false" customHeight="false" outlineLevel="0" collapsed="false">
      <c r="E56" s="13" t="n">
        <v>52</v>
      </c>
      <c r="F56" s="14" t="n">
        <f aca="false">J55</f>
        <v>1234939409.48</v>
      </c>
      <c r="G56" s="14" t="n">
        <f aca="false">F56*$B$13</f>
        <v>13110298.7535471</v>
      </c>
      <c r="H56" s="14" t="n">
        <f aca="false">I56-G56</f>
        <v>3614219.87907918</v>
      </c>
      <c r="I56" s="14" t="n">
        <f aca="false">$B$18+$B$17*(E56-1)</f>
        <v>16724518.6326263</v>
      </c>
      <c r="J56" s="14" t="n">
        <f aca="false">ROUND(F56-H56,2)</f>
        <v>1231325189.6</v>
      </c>
    </row>
    <row r="57" customFormat="false" ht="15" hidden="false" customHeight="false" outlineLevel="0" collapsed="false">
      <c r="E57" s="13" t="n">
        <v>53</v>
      </c>
      <c r="F57" s="14" t="n">
        <f aca="false">J56</f>
        <v>1231325189.6</v>
      </c>
      <c r="G57" s="14" t="n">
        <f aca="false">F57*$B$13</f>
        <v>13071929.6627042</v>
      </c>
      <c r="H57" s="14" t="n">
        <f aca="false">I57-G57</f>
        <v>3762588.96992208</v>
      </c>
      <c r="I57" s="14" t="n">
        <f aca="false">$B$18+$B$17*(E57-1)</f>
        <v>16834518.6326263</v>
      </c>
      <c r="J57" s="14" t="n">
        <f aca="false">ROUND(F57-H57,2)</f>
        <v>1227562600.63</v>
      </c>
    </row>
    <row r="58" customFormat="false" ht="15" hidden="false" customHeight="false" outlineLevel="0" collapsed="false">
      <c r="E58" s="13" t="n">
        <v>54</v>
      </c>
      <c r="F58" s="14" t="n">
        <f aca="false">J57</f>
        <v>1227562600.63</v>
      </c>
      <c r="G58" s="14" t="n">
        <f aca="false">F58*$B$13</f>
        <v>13031985.463738</v>
      </c>
      <c r="H58" s="14" t="n">
        <f aca="false">I58-G58</f>
        <v>3912533.1688883</v>
      </c>
      <c r="I58" s="14" t="n">
        <f aca="false">$B$18+$B$17*(E58-1)</f>
        <v>16944518.6326263</v>
      </c>
      <c r="J58" s="14" t="n">
        <f aca="false">ROUND(F58-H58,2)</f>
        <v>1223650067.46</v>
      </c>
    </row>
    <row r="59" customFormat="false" ht="15" hidden="false" customHeight="false" outlineLevel="0" collapsed="false">
      <c r="E59" s="13" t="n">
        <v>55</v>
      </c>
      <c r="F59" s="14" t="n">
        <f aca="false">J58</f>
        <v>1223650067.46</v>
      </c>
      <c r="G59" s="14" t="n">
        <f aca="false">F59*$B$13</f>
        <v>12990449.4350486</v>
      </c>
      <c r="H59" s="14" t="n">
        <f aca="false">I59-G59</f>
        <v>4064069.19757772</v>
      </c>
      <c r="I59" s="14" t="n">
        <f aca="false">$B$18+$B$17*(E59-1)</f>
        <v>17054518.6326263</v>
      </c>
      <c r="J59" s="14" t="n">
        <f aca="false">ROUND(F59-H59,2)</f>
        <v>1219585998.26</v>
      </c>
    </row>
    <row r="60" customFormat="false" ht="15" hidden="false" customHeight="false" outlineLevel="0" collapsed="false">
      <c r="E60" s="13" t="n">
        <v>56</v>
      </c>
      <c r="F60" s="14" t="n">
        <f aca="false">J59</f>
        <v>1219585998.26</v>
      </c>
      <c r="G60" s="14" t="n">
        <f aca="false">F60*$B$13</f>
        <v>12947304.6775341</v>
      </c>
      <c r="H60" s="14" t="n">
        <f aca="false">I60-G60</f>
        <v>4217213.95509221</v>
      </c>
      <c r="I60" s="14" t="n">
        <f aca="false">$B$18+$B$17*(E60-1)</f>
        <v>17164518.6326263</v>
      </c>
      <c r="J60" s="14" t="n">
        <f aca="false">ROUND(F60-H60,2)</f>
        <v>1215368784.3</v>
      </c>
    </row>
    <row r="61" customFormat="false" ht="15" hidden="false" customHeight="false" outlineLevel="0" collapsed="false">
      <c r="E61" s="13" t="n">
        <v>57</v>
      </c>
      <c r="F61" s="14" t="n">
        <f aca="false">J60</f>
        <v>1215368784.3</v>
      </c>
      <c r="G61" s="14" t="n">
        <f aca="false">F61*$B$13</f>
        <v>12902534.1126798</v>
      </c>
      <c r="H61" s="14" t="n">
        <f aca="false">I61-G61</f>
        <v>4371984.51994648</v>
      </c>
      <c r="I61" s="14" t="n">
        <f aca="false">$B$18+$B$17*(E61-1)</f>
        <v>17274518.6326263</v>
      </c>
      <c r="J61" s="14" t="n">
        <f aca="false">ROUND(F61-H61,2)</f>
        <v>1210996799.78</v>
      </c>
    </row>
    <row r="62" customFormat="false" ht="15" hidden="false" customHeight="false" outlineLevel="0" collapsed="false">
      <c r="E62" s="13" t="n">
        <v>58</v>
      </c>
      <c r="F62" s="14" t="n">
        <f aca="false">J61</f>
        <v>1210996799.78</v>
      </c>
      <c r="G62" s="14" t="n">
        <f aca="false">F62*$B$13</f>
        <v>12856120.4807533</v>
      </c>
      <c r="H62" s="14" t="n">
        <f aca="false">I62-G62</f>
        <v>4528398.15187294</v>
      </c>
      <c r="I62" s="14" t="n">
        <f aca="false">$B$18+$B$17*(E62-1)</f>
        <v>17384518.6326263</v>
      </c>
      <c r="J62" s="14" t="n">
        <f aca="false">ROUND(F62-H62,2)</f>
        <v>1206468401.63</v>
      </c>
    </row>
    <row r="63" customFormat="false" ht="15" hidden="false" customHeight="false" outlineLevel="0" collapsed="false">
      <c r="E63" s="13" t="n">
        <v>59</v>
      </c>
      <c r="F63" s="14" t="n">
        <f aca="false">J62</f>
        <v>1206468401.63</v>
      </c>
      <c r="G63" s="14" t="n">
        <f aca="false">F63*$B$13</f>
        <v>12808046.3386815</v>
      </c>
      <c r="H63" s="14" t="n">
        <f aca="false">I63-G63</f>
        <v>4686472.29394483</v>
      </c>
      <c r="I63" s="14" t="n">
        <f aca="false">$B$18+$B$17*(E63-1)</f>
        <v>17494518.6326263</v>
      </c>
      <c r="J63" s="14" t="n">
        <f aca="false">ROUND(F63-H63,2)</f>
        <v>1201781929.34</v>
      </c>
    </row>
    <row r="64" customFormat="false" ht="15" hidden="false" customHeight="false" outlineLevel="0" collapsed="false">
      <c r="E64" s="13" t="n">
        <v>60</v>
      </c>
      <c r="F64" s="14" t="n">
        <f aca="false">J63</f>
        <v>1201781929.34</v>
      </c>
      <c r="G64" s="14" t="n">
        <f aca="false">F64*$B$13</f>
        <v>12758294.0582453</v>
      </c>
      <c r="H64" s="14" t="n">
        <f aca="false">I64-G64</f>
        <v>4846224.57438099</v>
      </c>
      <c r="I64" s="14" t="n">
        <f aca="false">$B$18+$B$17*(E64-1)</f>
        <v>17604518.6326263</v>
      </c>
      <c r="J64" s="14" t="n">
        <f aca="false">ROUND(F64-H64,2)</f>
        <v>1196935704.77</v>
      </c>
    </row>
    <row r="65" customFormat="false" ht="15" hidden="false" customHeight="false" outlineLevel="0" collapsed="false">
      <c r="E65" s="13" t="n">
        <v>61</v>
      </c>
      <c r="F65" s="14" t="n">
        <f aca="false">J64</f>
        <v>1196935704.77</v>
      </c>
      <c r="G65" s="14" t="n">
        <f aca="false">F65*$B$13</f>
        <v>12706845.8240633</v>
      </c>
      <c r="H65" s="14" t="n">
        <f aca="false">I65-G65</f>
        <v>5007672.80856297</v>
      </c>
      <c r="I65" s="14" t="n">
        <f aca="false">$B$18+$B$17*(E65-1)</f>
        <v>17714518.6326263</v>
      </c>
      <c r="J65" s="14" t="n">
        <f aca="false">ROUND(F65-H65,2)</f>
        <v>1191928031.96</v>
      </c>
    </row>
    <row r="66" customFormat="false" ht="15" hidden="false" customHeight="false" outlineLevel="0" collapsed="false">
      <c r="E66" s="13" t="n">
        <v>62</v>
      </c>
      <c r="F66" s="14" t="n">
        <f aca="false">J65</f>
        <v>1191928031.96</v>
      </c>
      <c r="G66" s="14" t="n">
        <f aca="false">F66*$B$13</f>
        <v>12653683.6315742</v>
      </c>
      <c r="H66" s="14" t="n">
        <f aca="false">I66-G66</f>
        <v>5170835.00105204</v>
      </c>
      <c r="I66" s="14" t="n">
        <f aca="false">$B$18+$B$17*(E66-1)</f>
        <v>17824518.6326263</v>
      </c>
      <c r="J66" s="14" t="n">
        <f aca="false">ROUND(F66-H66,2)</f>
        <v>1186757196.96</v>
      </c>
    </row>
    <row r="67" customFormat="false" ht="15" hidden="false" customHeight="false" outlineLevel="0" collapsed="false">
      <c r="E67" s="13" t="n">
        <v>63</v>
      </c>
      <c r="F67" s="14" t="n">
        <f aca="false">J66</f>
        <v>1186757196.96</v>
      </c>
      <c r="G67" s="14" t="n">
        <f aca="false">F67*$B$13</f>
        <v>12598789.2852323</v>
      </c>
      <c r="H67" s="14" t="n">
        <f aca="false">I67-G67</f>
        <v>5335729.34739397</v>
      </c>
      <c r="I67" s="14" t="n">
        <f aca="false">$B$18+$B$17*(E67-1)</f>
        <v>17934518.6326263</v>
      </c>
      <c r="J67" s="14" t="n">
        <f aca="false">ROUND(F67-H67,2)</f>
        <v>1181421467.61</v>
      </c>
    </row>
    <row r="68" customFormat="false" ht="15" hidden="false" customHeight="false" outlineLevel="0" collapsed="false">
      <c r="E68" s="13" t="n">
        <v>64</v>
      </c>
      <c r="F68" s="14" t="n">
        <f aca="false">J67</f>
        <v>1181421467.61</v>
      </c>
      <c r="G68" s="14" t="n">
        <f aca="false">F68*$B$13</f>
        <v>12542144.3961717</v>
      </c>
      <c r="H68" s="14" t="n">
        <f aca="false">I68-G68</f>
        <v>5502374.23645458</v>
      </c>
      <c r="I68" s="14" t="n">
        <f aca="false">$B$18+$B$17*(E68-1)</f>
        <v>18044518.6326263</v>
      </c>
      <c r="J68" s="14" t="n">
        <f aca="false">ROUND(F68-H68,2)</f>
        <v>1175919093.37</v>
      </c>
    </row>
    <row r="69" customFormat="false" ht="15" hidden="false" customHeight="false" outlineLevel="0" collapsed="false">
      <c r="E69" s="13" t="n">
        <v>65</v>
      </c>
      <c r="F69" s="14" t="n">
        <f aca="false">J68</f>
        <v>1175919093.37</v>
      </c>
      <c r="G69" s="14" t="n">
        <f aca="false">F69*$B$13</f>
        <v>12483730.3804018</v>
      </c>
      <c r="H69" s="14" t="n">
        <f aca="false">I69-G69</f>
        <v>5670788.25222447</v>
      </c>
      <c r="I69" s="14" t="n">
        <f aca="false">$B$18+$B$17*(E69-1)</f>
        <v>18154518.6326263</v>
      </c>
      <c r="J69" s="14" t="n">
        <f aca="false">ROUND(F69-H69,2)</f>
        <v>1170248305.12</v>
      </c>
    </row>
    <row r="70" customFormat="false" ht="15" hidden="false" customHeight="false" outlineLevel="0" collapsed="false">
      <c r="E70" s="13" t="n">
        <v>66</v>
      </c>
      <c r="F70" s="14" t="n">
        <f aca="false">J69</f>
        <v>1170248305.12</v>
      </c>
      <c r="G70" s="14" t="n">
        <f aca="false">F70*$B$13</f>
        <v>12423528.456684</v>
      </c>
      <c r="H70" s="14" t="n">
        <f aca="false">I70-G70</f>
        <v>5840990.17594226</v>
      </c>
      <c r="I70" s="14" t="n">
        <f aca="false">$B$18+$B$17*(E70-1)</f>
        <v>18264518.6326263</v>
      </c>
      <c r="J70" s="14" t="n">
        <f aca="false">ROUND(F70-H70,2)</f>
        <v>1164407314.94</v>
      </c>
    </row>
    <row r="71" customFormat="false" ht="15" hidden="false" customHeight="false" outlineLevel="0" collapsed="false">
      <c r="E71" s="13" t="n">
        <v>67</v>
      </c>
      <c r="F71" s="14" t="n">
        <f aca="false">J70</f>
        <v>1164407314.94</v>
      </c>
      <c r="G71" s="14" t="n">
        <f aca="false">F71*$B$13</f>
        <v>12361519.6441962</v>
      </c>
      <c r="H71" s="14" t="n">
        <f aca="false">I71-G71</f>
        <v>6012998.98843014</v>
      </c>
      <c r="I71" s="14" t="n">
        <f aca="false">$B$18+$B$17*(E71-1)</f>
        <v>18374518.6326263</v>
      </c>
      <c r="J71" s="14" t="n">
        <f aca="false">ROUND(F71-H71,2)</f>
        <v>1158394315.95</v>
      </c>
    </row>
    <row r="72" customFormat="false" ht="15" hidden="false" customHeight="false" outlineLevel="0" collapsed="false">
      <c r="E72" s="13" t="n">
        <v>68</v>
      </c>
      <c r="F72" s="14" t="n">
        <f aca="false">J71</f>
        <v>1158394315.95</v>
      </c>
      <c r="G72" s="14" t="n">
        <f aca="false">F72*$B$13</f>
        <v>12297684.7608338</v>
      </c>
      <c r="H72" s="14" t="n">
        <f aca="false">I72-G72</f>
        <v>6186833.87179245</v>
      </c>
      <c r="I72" s="14" t="n">
        <f aca="false">$B$18+$B$17*(E72-1)</f>
        <v>18484518.6326263</v>
      </c>
      <c r="J72" s="14" t="n">
        <f aca="false">ROUND(F72-H72,2)</f>
        <v>1152207482.08</v>
      </c>
    </row>
    <row r="73" customFormat="false" ht="15" hidden="false" customHeight="false" outlineLevel="0" collapsed="false">
      <c r="E73" s="13" t="n">
        <v>69</v>
      </c>
      <c r="F73" s="14" t="n">
        <f aca="false">J72</f>
        <v>1152207482.08</v>
      </c>
      <c r="G73" s="14" t="n">
        <f aca="false">F73*$B$13</f>
        <v>12232004.4207689</v>
      </c>
      <c r="H73" s="14" t="n">
        <f aca="false">I73-G73</f>
        <v>6362514.21185741</v>
      </c>
      <c r="I73" s="14" t="n">
        <f aca="false">$B$18+$B$17*(E73-1)</f>
        <v>18594518.6326263</v>
      </c>
      <c r="J73" s="14" t="n">
        <f aca="false">ROUND(F73-H73,2)</f>
        <v>1145844967.87</v>
      </c>
    </row>
    <row r="74" customFormat="false" ht="15" hidden="false" customHeight="false" outlineLevel="0" collapsed="false">
      <c r="E74" s="13" t="n">
        <v>70</v>
      </c>
      <c r="F74" s="14" t="n">
        <f aca="false">J73</f>
        <v>1145844967.87</v>
      </c>
      <c r="G74" s="14" t="n">
        <f aca="false">F74*$B$13</f>
        <v>12164459.032326</v>
      </c>
      <c r="H74" s="14" t="n">
        <f aca="false">I74-G74</f>
        <v>6540059.60030032</v>
      </c>
      <c r="I74" s="14" t="n">
        <f aca="false">$B$18+$B$17*(E74-1)</f>
        <v>18704518.6326263</v>
      </c>
      <c r="J74" s="14" t="n">
        <f aca="false">ROUND(F74-H74,2)</f>
        <v>1139304908.27</v>
      </c>
    </row>
    <row r="75" customFormat="false" ht="15" hidden="false" customHeight="false" outlineLevel="0" collapsed="false">
      <c r="E75" s="13" t="n">
        <v>71</v>
      </c>
      <c r="F75" s="14" t="n">
        <f aca="false">J74</f>
        <v>1139304908.27</v>
      </c>
      <c r="G75" s="14" t="n">
        <f aca="false">F75*$B$13</f>
        <v>12095028.7958595</v>
      </c>
      <c r="H75" s="14" t="n">
        <f aca="false">I75-G75</f>
        <v>6719489.83676682</v>
      </c>
      <c r="I75" s="14" t="n">
        <f aca="false">$B$18+$B$17*(E75-1)</f>
        <v>18814518.6326263</v>
      </c>
      <c r="J75" s="14" t="n">
        <f aca="false">ROUND(F75-H75,2)</f>
        <v>1132585418.43</v>
      </c>
    </row>
    <row r="76" customFormat="false" ht="15" hidden="false" customHeight="false" outlineLevel="0" collapsed="false">
      <c r="E76" s="13" t="n">
        <v>72</v>
      </c>
      <c r="F76" s="14" t="n">
        <f aca="false">J75</f>
        <v>1132585418.43</v>
      </c>
      <c r="G76" s="14" t="n">
        <f aca="false">F76*$B$13</f>
        <v>12023693.701524</v>
      </c>
      <c r="H76" s="14" t="n">
        <f aca="false">I76-G76</f>
        <v>6900824.93110228</v>
      </c>
      <c r="I76" s="14" t="n">
        <f aca="false">$B$18+$B$17*(E76-1)</f>
        <v>18924518.6326263</v>
      </c>
      <c r="J76" s="14" t="n">
        <f aca="false">ROUND(F76-H76,2)</f>
        <v>1125684593.5</v>
      </c>
    </row>
    <row r="77" customFormat="false" ht="15" hidden="false" customHeight="false" outlineLevel="0" collapsed="false">
      <c r="E77" s="13" t="n">
        <v>73</v>
      </c>
      <c r="F77" s="14" t="n">
        <f aca="false">J76</f>
        <v>1125684593.5</v>
      </c>
      <c r="G77" s="14" t="n">
        <f aca="false">F77*$B$13</f>
        <v>11950433.5271513</v>
      </c>
      <c r="H77" s="14" t="n">
        <f aca="false">I77-G77</f>
        <v>7084085.10547498</v>
      </c>
      <c r="I77" s="14" t="n">
        <f aca="false">$B$18+$B$17*(E77-1)</f>
        <v>19034518.6326263</v>
      </c>
      <c r="J77" s="14" t="n">
        <f aca="false">ROUND(F77-H77,2)</f>
        <v>1118600508.39</v>
      </c>
    </row>
    <row r="78" customFormat="false" ht="15" hidden="false" customHeight="false" outlineLevel="0" collapsed="false">
      <c r="E78" s="13" t="n">
        <v>74</v>
      </c>
      <c r="F78" s="14" t="n">
        <f aca="false">J77</f>
        <v>1118600508.39</v>
      </c>
      <c r="G78" s="14" t="n">
        <f aca="false">F78*$B$13</f>
        <v>11875227.8357022</v>
      </c>
      <c r="H78" s="14" t="n">
        <f aca="false">I78-G78</f>
        <v>7269290.79692405</v>
      </c>
      <c r="I78" s="14" t="n">
        <f aca="false">$B$18+$B$17*(E78-1)</f>
        <v>19144518.6326263</v>
      </c>
      <c r="J78" s="14" t="n">
        <f aca="false">ROUND(F78-H78,2)</f>
        <v>1111331217.59</v>
      </c>
    </row>
    <row r="79" customFormat="false" ht="15" hidden="false" customHeight="false" outlineLevel="0" collapsed="false">
      <c r="E79" s="13" t="n">
        <v>75</v>
      </c>
      <c r="F79" s="14" t="n">
        <f aca="false">J78</f>
        <v>1111331217.59</v>
      </c>
      <c r="G79" s="14" t="n">
        <f aca="false">F79*$B$13</f>
        <v>11798055.9733559</v>
      </c>
      <c r="H79" s="14" t="n">
        <f aca="false">I79-G79</f>
        <v>7456462.65927035</v>
      </c>
      <c r="I79" s="14" t="n">
        <f aca="false">$B$18+$B$17*(E79-1)</f>
        <v>19254518.6326263</v>
      </c>
      <c r="J79" s="14" t="n">
        <f aca="false">ROUND(F79-H79,2)</f>
        <v>1103874754.93</v>
      </c>
    </row>
    <row r="80" customFormat="false" ht="15" hidden="false" customHeight="false" outlineLevel="0" collapsed="false">
      <c r="E80" s="13" t="n">
        <v>76</v>
      </c>
      <c r="F80" s="14" t="n">
        <f aca="false">J79</f>
        <v>1103874754.93</v>
      </c>
      <c r="G80" s="14" t="n">
        <f aca="false">F80*$B$13</f>
        <v>11718897.066962</v>
      </c>
      <c r="H80" s="14" t="n">
        <f aca="false">I80-G80</f>
        <v>7645621.56566433</v>
      </c>
      <c r="I80" s="14" t="n">
        <f aca="false">$B$18+$B$17*(E80-1)</f>
        <v>19364518.6326263</v>
      </c>
      <c r="J80" s="14" t="n">
        <f aca="false">ROUND(F80-H80,2)</f>
        <v>1096229133.36</v>
      </c>
    </row>
    <row r="81" customFormat="false" ht="15" hidden="false" customHeight="false" outlineLevel="0" collapsed="false">
      <c r="E81" s="13" t="n">
        <v>77</v>
      </c>
      <c r="F81" s="14" t="n">
        <f aca="false">J80</f>
        <v>1096229133.36</v>
      </c>
      <c r="G81" s="14" t="n">
        <f aca="false">F81*$B$13</f>
        <v>11637730.0217047</v>
      </c>
      <c r="H81" s="14" t="n">
        <f aca="false">I81-G81</f>
        <v>7836788.61092162</v>
      </c>
      <c r="I81" s="14" t="n">
        <f aca="false">$B$18+$B$17*(E81-1)</f>
        <v>19474518.6326263</v>
      </c>
      <c r="J81" s="14" t="n">
        <f aca="false">ROUND(F81-H81,2)</f>
        <v>1088392344.75</v>
      </c>
    </row>
    <row r="82" customFormat="false" ht="15" hidden="false" customHeight="false" outlineLevel="0" collapsed="false">
      <c r="E82" s="13" t="n">
        <v>78</v>
      </c>
      <c r="F82" s="14" t="n">
        <f aca="false">J81</f>
        <v>1088392344.75</v>
      </c>
      <c r="G82" s="14" t="n">
        <f aca="false">F82*$B$13</f>
        <v>11554533.5189801</v>
      </c>
      <c r="H82" s="14" t="n">
        <f aca="false">I82-G82</f>
        <v>8029985.1136462</v>
      </c>
      <c r="I82" s="14" t="n">
        <f aca="false">$B$18+$B$17*(E82-1)</f>
        <v>19584518.6326263</v>
      </c>
      <c r="J82" s="14" t="n">
        <f aca="false">ROUND(F82-H82,2)</f>
        <v>1080362359.64</v>
      </c>
    </row>
    <row r="83" customFormat="false" ht="15" hidden="false" customHeight="false" outlineLevel="0" collapsed="false">
      <c r="E83" s="13" t="n">
        <v>79</v>
      </c>
      <c r="F83" s="14" t="n">
        <f aca="false">J82</f>
        <v>1080362359.64</v>
      </c>
      <c r="G83" s="14" t="n">
        <f aca="false">F83*$B$13</f>
        <v>11469286.0137418</v>
      </c>
      <c r="H83" s="14" t="n">
        <f aca="false">I83-G83</f>
        <v>8225232.6188845</v>
      </c>
      <c r="I83" s="14" t="n">
        <f aca="false">$B$18+$B$17*(E83-1)</f>
        <v>19694518.6326263</v>
      </c>
      <c r="J83" s="14" t="n">
        <f aca="false">ROUND(F83-H83,2)</f>
        <v>1072137127.02</v>
      </c>
    </row>
    <row r="84" customFormat="false" ht="15" hidden="false" customHeight="false" outlineLevel="0" collapsed="false">
      <c r="E84" s="13" t="n">
        <v>80</v>
      </c>
      <c r="F84" s="14" t="n">
        <f aca="false">J83</f>
        <v>1072137127.02</v>
      </c>
      <c r="G84" s="14" t="n">
        <f aca="false">F84*$B$13</f>
        <v>11381965.7321654</v>
      </c>
      <c r="H84" s="14" t="n">
        <f aca="false">I84-G84</f>
        <v>8422552.90046093</v>
      </c>
      <c r="I84" s="14" t="n">
        <f aca="false">$B$18+$B$17*(E84-1)</f>
        <v>19804518.6326263</v>
      </c>
      <c r="J84" s="14" t="n">
        <f aca="false">ROUND(F84-H84,2)</f>
        <v>1063714574.12</v>
      </c>
    </row>
    <row r="85" customFormat="false" ht="15" hidden="false" customHeight="false" outlineLevel="0" collapsed="false">
      <c r="E85" s="13" t="n">
        <v>81</v>
      </c>
      <c r="F85" s="14" t="n">
        <f aca="false">J84</f>
        <v>1063714574.12</v>
      </c>
      <c r="G85" s="14" t="n">
        <f aca="false">F85*$B$13</f>
        <v>11292550.669419</v>
      </c>
      <c r="H85" s="14" t="n">
        <f aca="false">I85-G85</f>
        <v>8621967.96320725</v>
      </c>
      <c r="I85" s="14" t="n">
        <f aca="false">$B$18+$B$17*(E85-1)</f>
        <v>19914518.6326263</v>
      </c>
      <c r="J85" s="14" t="n">
        <f aca="false">ROUND(F85-H85,2)</f>
        <v>1055092606.16</v>
      </c>
    </row>
    <row r="86" customFormat="false" ht="15" hidden="false" customHeight="false" outlineLevel="0" collapsed="false">
      <c r="E86" s="13" t="n">
        <v>82</v>
      </c>
      <c r="F86" s="14" t="n">
        <f aca="false">J85</f>
        <v>1055092606.16</v>
      </c>
      <c r="G86" s="14" t="n">
        <f aca="false">F86*$B$13</f>
        <v>11201018.5870097</v>
      </c>
      <c r="H86" s="14" t="n">
        <f aca="false">I86-G86</f>
        <v>8823500.04561663</v>
      </c>
      <c r="I86" s="14" t="n">
        <f aca="false">$B$18+$B$17*(E86-1)</f>
        <v>20024518.6326263</v>
      </c>
      <c r="J86" s="14" t="n">
        <f aca="false">ROUND(F86-H86,2)</f>
        <v>1046269106.11</v>
      </c>
    </row>
    <row r="87" customFormat="false" ht="15" hidden="false" customHeight="false" outlineLevel="0" collapsed="false">
      <c r="E87" s="13" t="n">
        <v>83</v>
      </c>
      <c r="F87" s="14" t="n">
        <f aca="false">J86</f>
        <v>1046269106.11</v>
      </c>
      <c r="G87" s="14" t="n">
        <f aca="false">F87*$B$13</f>
        <v>11107347.0102348</v>
      </c>
      <c r="H87" s="14" t="n">
        <f aca="false">I87-G87</f>
        <v>9027171.62239151</v>
      </c>
      <c r="I87" s="14" t="n">
        <f aca="false">$B$18+$B$17*(E87-1)</f>
        <v>20134518.6326263</v>
      </c>
      <c r="J87" s="14" t="n">
        <f aca="false">ROUND(F87-H87,2)</f>
        <v>1037241934.49</v>
      </c>
    </row>
    <row r="88" customFormat="false" ht="15" hidden="false" customHeight="false" outlineLevel="0" collapsed="false">
      <c r="E88" s="13" t="n">
        <v>84</v>
      </c>
      <c r="F88" s="14" t="n">
        <f aca="false">J87</f>
        <v>1037241934.49</v>
      </c>
      <c r="G88" s="14" t="n">
        <f aca="false">F88*$B$13</f>
        <v>11011513.2260594</v>
      </c>
      <c r="H88" s="14" t="n">
        <f aca="false">I88-G88</f>
        <v>9233005.40656686</v>
      </c>
      <c r="I88" s="14" t="n">
        <f aca="false">$B$18+$B$17*(E88-1)</f>
        <v>20244518.6326263</v>
      </c>
      <c r="J88" s="14" t="n">
        <f aca="false">ROUND(F88-H88,2)</f>
        <v>1028008929.08</v>
      </c>
    </row>
    <row r="89" customFormat="false" ht="15" hidden="false" customHeight="false" outlineLevel="0" collapsed="false">
      <c r="E89" s="13" t="n">
        <v>85</v>
      </c>
      <c r="F89" s="14" t="n">
        <f aca="false">J88</f>
        <v>1028008929.08</v>
      </c>
      <c r="G89" s="14" t="n">
        <f aca="false">F89*$B$13</f>
        <v>10913494.2800375</v>
      </c>
      <c r="H89" s="14" t="n">
        <f aca="false">I89-G89</f>
        <v>9441024.35258883</v>
      </c>
      <c r="I89" s="14" t="n">
        <f aca="false">$B$18+$B$17*(E89-1)</f>
        <v>20354518.6326263</v>
      </c>
      <c r="J89" s="14" t="n">
        <f aca="false">ROUND(F89-H89,2)</f>
        <v>1018567904.73</v>
      </c>
    </row>
    <row r="90" customFormat="false" ht="15" hidden="false" customHeight="false" outlineLevel="0" collapsed="false">
      <c r="E90" s="13" t="n">
        <v>86</v>
      </c>
      <c r="F90" s="14" t="n">
        <f aca="false">J89</f>
        <v>1018567904.73</v>
      </c>
      <c r="G90" s="14" t="n">
        <f aca="false">F90*$B$13</f>
        <v>10813266.9742945</v>
      </c>
      <c r="H90" s="14" t="n">
        <f aca="false">I90-G90</f>
        <v>9651251.65833181</v>
      </c>
      <c r="I90" s="14" t="n">
        <f aca="false">$B$18+$B$17*(E90-1)</f>
        <v>20464518.6326263</v>
      </c>
      <c r="J90" s="14" t="n">
        <f aca="false">ROUND(F90-H90,2)</f>
        <v>1008916653.07</v>
      </c>
    </row>
    <row r="91" customFormat="false" ht="15" hidden="false" customHeight="false" outlineLevel="0" collapsed="false">
      <c r="E91" s="13" t="n">
        <v>87</v>
      </c>
      <c r="F91" s="14" t="n">
        <f aca="false">J90</f>
        <v>1008916653.07</v>
      </c>
      <c r="G91" s="14" t="n">
        <f aca="false">F91*$B$13</f>
        <v>10710807.8644491</v>
      </c>
      <c r="H91" s="14" t="n">
        <f aca="false">I91-G91</f>
        <v>9863710.76817717</v>
      </c>
      <c r="I91" s="14" t="n">
        <f aca="false">$B$18+$B$17*(E91-1)</f>
        <v>20574518.6326263</v>
      </c>
      <c r="J91" s="14" t="n">
        <f aca="false">ROUND(F91-H91,2)</f>
        <v>999052942.3</v>
      </c>
    </row>
    <row r="92" customFormat="false" ht="15" hidden="false" customHeight="false" outlineLevel="0" collapsed="false">
      <c r="E92" s="13" t="n">
        <v>88</v>
      </c>
      <c r="F92" s="14" t="n">
        <f aca="false">J91</f>
        <v>999052942.3</v>
      </c>
      <c r="G92" s="14" t="n">
        <f aca="false">F92*$B$13</f>
        <v>10606093.2573837</v>
      </c>
      <c r="H92" s="14" t="n">
        <f aca="false">I92-G92</f>
        <v>10078425.3752426</v>
      </c>
      <c r="I92" s="14" t="n">
        <f aca="false">$B$18+$B$17*(E92-1)</f>
        <v>20684518.6326263</v>
      </c>
      <c r="J92" s="14" t="n">
        <f aca="false">ROUND(F92-H92,2)</f>
        <v>988974516.92</v>
      </c>
    </row>
    <row r="93" customFormat="false" ht="15" hidden="false" customHeight="false" outlineLevel="0" collapsed="false">
      <c r="E93" s="13" t="n">
        <v>89</v>
      </c>
      <c r="F93" s="14" t="n">
        <f aca="false">J92</f>
        <v>988974516.92</v>
      </c>
      <c r="G93" s="14" t="n">
        <f aca="false">F93*$B$13</f>
        <v>10499099.2083779</v>
      </c>
      <c r="H93" s="14" t="n">
        <f aca="false">I93-G93</f>
        <v>10295419.4242484</v>
      </c>
      <c r="I93" s="14" t="n">
        <f aca="false">$B$18+$B$17*(E93-1)</f>
        <v>20794518.6326263</v>
      </c>
      <c r="J93" s="14" t="n">
        <f aca="false">ROUND(F93-H93,2)</f>
        <v>978679097.5</v>
      </c>
    </row>
    <row r="94" customFormat="false" ht="15" hidden="false" customHeight="false" outlineLevel="0" collapsed="false">
      <c r="E94" s="13" t="n">
        <v>90</v>
      </c>
      <c r="F94" s="14" t="n">
        <f aca="false">J93</f>
        <v>978679097.5</v>
      </c>
      <c r="G94" s="14" t="n">
        <f aca="false">F94*$B$13</f>
        <v>10389801.5186669</v>
      </c>
      <c r="H94" s="14" t="n">
        <f aca="false">I94-G94</f>
        <v>10514717.1139594</v>
      </c>
      <c r="I94" s="14" t="n">
        <f aca="false">$B$18+$B$17*(E94-1)</f>
        <v>20904518.6326263</v>
      </c>
      <c r="J94" s="14" t="n">
        <f aca="false">ROUND(F94-H94,2)</f>
        <v>968164380.39</v>
      </c>
    </row>
    <row r="95" customFormat="false" ht="15" hidden="false" customHeight="false" outlineLevel="0" collapsed="false">
      <c r="E95" s="13" t="n">
        <v>91</v>
      </c>
      <c r="F95" s="14" t="n">
        <f aca="false">J94</f>
        <v>968164380.39</v>
      </c>
      <c r="G95" s="14" t="n">
        <f aca="false">F95*$B$13</f>
        <v>10278175.7323628</v>
      </c>
      <c r="H95" s="14" t="n">
        <f aca="false">I95-G95</f>
        <v>10736342.9002635</v>
      </c>
      <c r="I95" s="14" t="n">
        <f aca="false">$B$18+$B$17*(E95-1)</f>
        <v>21014518.6326263</v>
      </c>
      <c r="J95" s="14" t="n">
        <f aca="false">ROUND(F95-H95,2)</f>
        <v>957428037.49</v>
      </c>
    </row>
    <row r="96" customFormat="false" ht="15" hidden="false" customHeight="false" outlineLevel="0" collapsed="false">
      <c r="E96" s="13" t="n">
        <v>92</v>
      </c>
      <c r="F96" s="14" t="n">
        <f aca="false">J95</f>
        <v>957428037.49</v>
      </c>
      <c r="G96" s="14" t="n">
        <f aca="false">F96*$B$13</f>
        <v>10164197.1340129</v>
      </c>
      <c r="H96" s="14" t="n">
        <f aca="false">I96-G96</f>
        <v>10960321.4986134</v>
      </c>
      <c r="I96" s="14" t="n">
        <f aca="false">$B$18+$B$17*(E96-1)</f>
        <v>21124518.6326263</v>
      </c>
      <c r="J96" s="14" t="n">
        <f aca="false">ROUND(F96-H96,2)</f>
        <v>946467715.99</v>
      </c>
    </row>
    <row r="97" customFormat="false" ht="15" hidden="false" customHeight="false" outlineLevel="0" collapsed="false">
      <c r="E97" s="13" t="n">
        <v>93</v>
      </c>
      <c r="F97" s="14" t="n">
        <f aca="false">J96</f>
        <v>946467715.99</v>
      </c>
      <c r="G97" s="14" t="n">
        <f aca="false">F97*$B$13</f>
        <v>10047840.7458396</v>
      </c>
      <c r="H97" s="14" t="n">
        <f aca="false">I97-G97</f>
        <v>11186677.8867867</v>
      </c>
      <c r="I97" s="14" t="n">
        <f aca="false">$B$18+$B$17*(E97-1)</f>
        <v>21234518.6326263</v>
      </c>
      <c r="J97" s="14" t="n">
        <f aca="false">ROUND(F97-H97,2)</f>
        <v>935281038.1</v>
      </c>
    </row>
    <row r="98" customFormat="false" ht="15" hidden="false" customHeight="false" outlineLevel="0" collapsed="false">
      <c r="E98" s="13" t="n">
        <v>94</v>
      </c>
      <c r="F98" s="14" t="n">
        <f aca="false">J97</f>
        <v>935281038.1</v>
      </c>
      <c r="G98" s="14" t="n">
        <f aca="false">F98*$B$13</f>
        <v>9929081.3248739</v>
      </c>
      <c r="H98" s="14" t="n">
        <f aca="false">I98-G98</f>
        <v>11415437.3077524</v>
      </c>
      <c r="I98" s="14" t="n">
        <f aca="false">$B$18+$B$17*(E98-1)</f>
        <v>21344518.6326263</v>
      </c>
      <c r="J98" s="14" t="n">
        <f aca="false">ROUND(F98-H98,2)</f>
        <v>923865600.79</v>
      </c>
    </row>
    <row r="99" customFormat="false" ht="15" hidden="false" customHeight="false" outlineLevel="0" collapsed="false">
      <c r="E99" s="13" t="n">
        <v>95</v>
      </c>
      <c r="F99" s="14" t="n">
        <f aca="false">J98</f>
        <v>923865600.79</v>
      </c>
      <c r="G99" s="14" t="n">
        <f aca="false">F99*$B$13</f>
        <v>9807893.36019513</v>
      </c>
      <c r="H99" s="14" t="n">
        <f aca="false">I99-G99</f>
        <v>11646625.2724312</v>
      </c>
      <c r="I99" s="14" t="n">
        <f aca="false">$B$18+$B$17*(E99-1)</f>
        <v>21454518.6326263</v>
      </c>
      <c r="J99" s="14" t="n">
        <f aca="false">ROUND(F99-H99,2)</f>
        <v>912218975.52</v>
      </c>
    </row>
    <row r="100" customFormat="false" ht="15" hidden="false" customHeight="false" outlineLevel="0" collapsed="false">
      <c r="E100" s="13" t="n">
        <v>96</v>
      </c>
      <c r="F100" s="14" t="n">
        <f aca="false">J99</f>
        <v>912218975.52</v>
      </c>
      <c r="G100" s="14" t="n">
        <f aca="false">F100*$B$13</f>
        <v>9684251.07006479</v>
      </c>
      <c r="H100" s="14" t="n">
        <f aca="false">I100-G100</f>
        <v>11880267.5625615</v>
      </c>
      <c r="I100" s="14" t="n">
        <f aca="false">$B$18+$B$17*(E100-1)</f>
        <v>21564518.6326263</v>
      </c>
      <c r="J100" s="14" t="n">
        <f aca="false">ROUND(F100-H100,2)</f>
        <v>900338707.96</v>
      </c>
    </row>
    <row r="101" customFormat="false" ht="15" hidden="false" customHeight="false" outlineLevel="0" collapsed="false">
      <c r="E101" s="13" t="n">
        <v>97</v>
      </c>
      <c r="F101" s="14" t="n">
        <f aca="false">J100</f>
        <v>900338707.96</v>
      </c>
      <c r="G101" s="14" t="n">
        <f aca="false">F101*$B$13</f>
        <v>9558128.39895394</v>
      </c>
      <c r="H101" s="14" t="n">
        <f aca="false">I101-G101</f>
        <v>12116390.2336723</v>
      </c>
      <c r="I101" s="14" t="n">
        <f aca="false">$B$18+$B$17*(E101-1)</f>
        <v>21674518.6326263</v>
      </c>
      <c r="J101" s="14" t="n">
        <f aca="false">ROUND(F101-H101,2)</f>
        <v>888222317.73</v>
      </c>
    </row>
    <row r="102" customFormat="false" ht="15" hidden="false" customHeight="false" outlineLevel="0" collapsed="false">
      <c r="E102" s="13" t="n">
        <v>98</v>
      </c>
      <c r="F102" s="14" t="n">
        <f aca="false">J101</f>
        <v>888222317.73</v>
      </c>
      <c r="G102" s="14" t="n">
        <f aca="false">F102*$B$13</f>
        <v>9429499.01478299</v>
      </c>
      <c r="H102" s="14" t="n">
        <f aca="false">I102-G102</f>
        <v>12355019.6178433</v>
      </c>
      <c r="I102" s="14" t="n">
        <f aca="false">$B$18+$B$17*(E102-1)</f>
        <v>21784518.6326263</v>
      </c>
      <c r="J102" s="14" t="n">
        <f aca="false">ROUND(F102-H102,2)</f>
        <v>875867298.11</v>
      </c>
    </row>
    <row r="103" customFormat="false" ht="15" hidden="false" customHeight="false" outlineLevel="0" collapsed="false">
      <c r="E103" s="13" t="n">
        <v>99</v>
      </c>
      <c r="F103" s="14" t="n">
        <f aca="false">J102</f>
        <v>875867298.11</v>
      </c>
      <c r="G103" s="14" t="n">
        <f aca="false">F103*$B$13</f>
        <v>9298336.30584301</v>
      </c>
      <c r="H103" s="14" t="n">
        <f aca="false">I103-G103</f>
        <v>12596182.3267833</v>
      </c>
      <c r="I103" s="14" t="n">
        <f aca="false">$B$18+$B$17*(E103-1)</f>
        <v>21894518.6326263</v>
      </c>
      <c r="J103" s="14" t="n">
        <f aca="false">ROUND(F103-H103,2)</f>
        <v>863271115.78</v>
      </c>
    </row>
    <row r="104" customFormat="false" ht="15" hidden="false" customHeight="false" outlineLevel="0" collapsed="false">
      <c r="E104" s="13" t="n">
        <v>100</v>
      </c>
      <c r="F104" s="14" t="n">
        <f aca="false">J103</f>
        <v>863271115.78</v>
      </c>
      <c r="G104" s="14" t="n">
        <f aca="false">F104*$B$13</f>
        <v>9164613.37803557</v>
      </c>
      <c r="H104" s="14" t="n">
        <f aca="false">I104-G104</f>
        <v>12839905.2545907</v>
      </c>
      <c r="I104" s="14" t="n">
        <f aca="false">$B$18+$B$17*(E104-1)</f>
        <v>22004518.6326263</v>
      </c>
      <c r="J104" s="14" t="n">
        <f aca="false">ROUND(F104-H104,2)</f>
        <v>850431210.53</v>
      </c>
    </row>
    <row r="105" customFormat="false" ht="15" hidden="false" customHeight="false" outlineLevel="0" collapsed="false">
      <c r="E105" s="13" t="n">
        <v>101</v>
      </c>
      <c r="F105" s="14" t="n">
        <f aca="false">J104</f>
        <v>850431210.53</v>
      </c>
      <c r="G105" s="14" t="n">
        <f aca="false">F105*$B$13</f>
        <v>9028303.05179404</v>
      </c>
      <c r="H105" s="14" t="n">
        <f aca="false">I105-G105</f>
        <v>13086215.5808322</v>
      </c>
      <c r="I105" s="14" t="n">
        <f aca="false">$B$18+$B$17*(E105-1)</f>
        <v>22114518.6326263</v>
      </c>
      <c r="J105" s="14" t="n">
        <f aca="false">ROUND(F105-H105,2)</f>
        <v>837344994.95</v>
      </c>
    </row>
    <row r="106" customFormat="false" ht="15" hidden="false" customHeight="false" outlineLevel="0" collapsed="false">
      <c r="E106" s="13" t="n">
        <v>102</v>
      </c>
      <c r="F106" s="14" t="n">
        <f aca="false">J105</f>
        <v>837344994.95</v>
      </c>
      <c r="G106" s="14" t="n">
        <f aca="false">F106*$B$13</f>
        <v>8889377.85879258</v>
      </c>
      <c r="H106" s="14" t="n">
        <f aca="false">I106-G106</f>
        <v>13335140.7738337</v>
      </c>
      <c r="I106" s="14" t="n">
        <f aca="false">$B$18+$B$17*(E106-1)</f>
        <v>22224518.6326263</v>
      </c>
      <c r="J106" s="14" t="n">
        <f aca="false">ROUND(F106-H106,2)</f>
        <v>824009854.18</v>
      </c>
    </row>
    <row r="107" customFormat="false" ht="15" hidden="false" customHeight="false" outlineLevel="0" collapsed="false">
      <c r="E107" s="13" t="n">
        <v>103</v>
      </c>
      <c r="F107" s="14" t="n">
        <f aca="false">J106</f>
        <v>824009854.18</v>
      </c>
      <c r="G107" s="14" t="n">
        <f aca="false">F107*$B$13</f>
        <v>8747810.03929209</v>
      </c>
      <c r="H107" s="14" t="n">
        <f aca="false">I107-G107</f>
        <v>13586708.5933342</v>
      </c>
      <c r="I107" s="14" t="n">
        <f aca="false">$B$18+$B$17*(E107-1)</f>
        <v>22334518.6326263</v>
      </c>
      <c r="J107" s="14" t="n">
        <f aca="false">ROUND(F107-H107,2)</f>
        <v>810423145.59</v>
      </c>
    </row>
    <row r="108" customFormat="false" ht="15" hidden="false" customHeight="false" outlineLevel="0" collapsed="false">
      <c r="E108" s="13" t="n">
        <v>104</v>
      </c>
      <c r="F108" s="14" t="n">
        <f aca="false">J107</f>
        <v>810423145.59</v>
      </c>
      <c r="G108" s="14" t="n">
        <f aca="false">F108*$B$13</f>
        <v>8603571.53874307</v>
      </c>
      <c r="H108" s="14" t="n">
        <f aca="false">I108-G108</f>
        <v>13840947.0938832</v>
      </c>
      <c r="I108" s="14" t="n">
        <f aca="false">$B$18+$B$17*(E108-1)</f>
        <v>22444518.6326263</v>
      </c>
      <c r="J108" s="14" t="n">
        <f aca="false">ROUND(F108-H108,2)</f>
        <v>796582198.5</v>
      </c>
    </row>
    <row r="109" customFormat="false" ht="15" hidden="false" customHeight="false" outlineLevel="0" collapsed="false">
      <c r="E109" s="13" t="n">
        <v>105</v>
      </c>
      <c r="F109" s="14" t="n">
        <f aca="false">J108</f>
        <v>796582198.5</v>
      </c>
      <c r="G109" s="14" t="n">
        <f aca="false">F109*$B$13</f>
        <v>8456634.00481309</v>
      </c>
      <c r="H109" s="14" t="n">
        <f aca="false">I109-G109</f>
        <v>14097884.6278132</v>
      </c>
      <c r="I109" s="14" t="n">
        <f aca="false">$B$18+$B$17*(E109-1)</f>
        <v>22554518.6326263</v>
      </c>
      <c r="J109" s="14" t="n">
        <f aca="false">ROUND(F109-H109,2)</f>
        <v>782484313.87</v>
      </c>
    </row>
    <row r="110" customFormat="false" ht="15" hidden="false" customHeight="false" outlineLevel="0" collapsed="false">
      <c r="E110" s="13" t="n">
        <v>106</v>
      </c>
      <c r="F110" s="14" t="n">
        <f aca="false">J109</f>
        <v>782484313.87</v>
      </c>
      <c r="G110" s="14" t="n">
        <f aca="false">F110*$B$13</f>
        <v>8306968.78409577</v>
      </c>
      <c r="H110" s="14" t="n">
        <f aca="false">I110-G110</f>
        <v>14357549.8485305</v>
      </c>
      <c r="I110" s="14" t="n">
        <f aca="false">$B$18+$B$17*(E110-1)</f>
        <v>22664518.6326263</v>
      </c>
      <c r="J110" s="14" t="n">
        <f aca="false">ROUND(F110-H110,2)</f>
        <v>768126764.02</v>
      </c>
    </row>
    <row r="111" customFormat="false" ht="15" hidden="false" customHeight="false" outlineLevel="0" collapsed="false">
      <c r="E111" s="13" t="n">
        <v>107</v>
      </c>
      <c r="F111" s="14" t="n">
        <f aca="false">J110</f>
        <v>768126764.02</v>
      </c>
      <c r="G111" s="14" t="n">
        <f aca="false">F111*$B$13</f>
        <v>8154546.91913828</v>
      </c>
      <c r="H111" s="14" t="n">
        <f aca="false">I111-G111</f>
        <v>14619971.713488</v>
      </c>
      <c r="I111" s="14" t="n">
        <f aca="false">$B$18+$B$17*(E111-1)</f>
        <v>22774518.6326263</v>
      </c>
      <c r="J111" s="14" t="n">
        <f aca="false">ROUND(F111-H111,2)</f>
        <v>753506792.31</v>
      </c>
    </row>
    <row r="112" customFormat="false" ht="15" hidden="false" customHeight="false" outlineLevel="0" collapsed="false">
      <c r="E112" s="13" t="n">
        <v>108</v>
      </c>
      <c r="F112" s="14" t="n">
        <f aca="false">J111</f>
        <v>753506792.31</v>
      </c>
      <c r="G112" s="14" t="n">
        <f aca="false">F112*$B$13</f>
        <v>7999339.14504415</v>
      </c>
      <c r="H112" s="14" t="n">
        <f aca="false">I112-G112</f>
        <v>14885179.4875821</v>
      </c>
      <c r="I112" s="14" t="n">
        <f aca="false">$B$18+$B$17*(E112-1)</f>
        <v>22884518.6326263</v>
      </c>
      <c r="J112" s="14" t="n">
        <f aca="false">ROUND(F112-H112,2)</f>
        <v>738621612.82</v>
      </c>
    </row>
    <row r="113" customFormat="false" ht="15" hidden="false" customHeight="false" outlineLevel="0" collapsed="false">
      <c r="E113" s="13" t="n">
        <v>109</v>
      </c>
      <c r="F113" s="14" t="n">
        <f aca="false">J112</f>
        <v>738621612.82</v>
      </c>
      <c r="G113" s="14" t="n">
        <f aca="false">F113*$B$13</f>
        <v>7841315.88607613</v>
      </c>
      <c r="H113" s="14" t="n">
        <f aca="false">I113-G113</f>
        <v>15153202.7465502</v>
      </c>
      <c r="I113" s="14" t="n">
        <f aca="false">$B$18+$B$17*(E113-1)</f>
        <v>22994518.6326263</v>
      </c>
      <c r="J113" s="14" t="n">
        <f aca="false">ROUND(F113-H113,2)</f>
        <v>723468410.07</v>
      </c>
    </row>
    <row r="114" customFormat="false" ht="15" hidden="false" customHeight="false" outlineLevel="0" collapsed="false">
      <c r="E114" s="13" t="n">
        <v>110</v>
      </c>
      <c r="F114" s="14" t="n">
        <f aca="false">J113</f>
        <v>723468410.07</v>
      </c>
      <c r="G114" s="14" t="n">
        <f aca="false">F114*$B$13</f>
        <v>7680447.25268365</v>
      </c>
      <c r="H114" s="14" t="n">
        <f aca="false">I114-G114</f>
        <v>15424071.3799426</v>
      </c>
      <c r="I114" s="14" t="n">
        <f aca="false">$B$18+$B$17*(E114-1)</f>
        <v>23104518.6326263</v>
      </c>
      <c r="J114" s="14" t="n">
        <f aca="false">ROUND(F114-H114,2)</f>
        <v>708044338.69</v>
      </c>
    </row>
    <row r="115" customFormat="false" ht="15" hidden="false" customHeight="false" outlineLevel="0" collapsed="false">
      <c r="E115" s="13" t="n">
        <v>111</v>
      </c>
      <c r="F115" s="14" t="n">
        <f aca="false">J114</f>
        <v>708044338.69</v>
      </c>
      <c r="G115" s="14" t="n">
        <f aca="false">F115*$B$13</f>
        <v>7516703.03799947</v>
      </c>
      <c r="H115" s="14" t="n">
        <f aca="false">I115-G115</f>
        <v>15697815.5946268</v>
      </c>
      <c r="I115" s="14" t="n">
        <f aca="false">$B$18+$B$17*(E115-1)</f>
        <v>23214518.6326263</v>
      </c>
      <c r="J115" s="14" t="n">
        <f aca="false">ROUND(F115-H115,2)</f>
        <v>692346523.1</v>
      </c>
    </row>
    <row r="116" customFormat="false" ht="15" hidden="false" customHeight="false" outlineLevel="0" collapsed="false">
      <c r="E116" s="13" t="n">
        <v>112</v>
      </c>
      <c r="F116" s="14" t="n">
        <f aca="false">J115</f>
        <v>692346523.1</v>
      </c>
      <c r="G116" s="14" t="n">
        <f aca="false">F116*$B$13</f>
        <v>7350052.71444259</v>
      </c>
      <c r="H116" s="14" t="n">
        <f aca="false">I116-G116</f>
        <v>15974465.9181837</v>
      </c>
      <c r="I116" s="14" t="n">
        <f aca="false">$B$18+$B$17*(E116-1)</f>
        <v>23324518.6326263</v>
      </c>
      <c r="J116" s="14" t="n">
        <f aca="false">ROUND(F116-H116,2)</f>
        <v>676372057.18</v>
      </c>
    </row>
    <row r="117" customFormat="false" ht="15" hidden="false" customHeight="false" outlineLevel="0" collapsed="false">
      <c r="E117" s="13" t="n">
        <v>113</v>
      </c>
      <c r="F117" s="14" t="n">
        <f aca="false">J116</f>
        <v>676372057.18</v>
      </c>
      <c r="G117" s="14" t="n">
        <f aca="false">F117*$B$13</f>
        <v>7180465.43021482</v>
      </c>
      <c r="H117" s="14" t="n">
        <f aca="false">I117-G117</f>
        <v>16254053.2024115</v>
      </c>
      <c r="I117" s="14" t="n">
        <f aca="false">$B$18+$B$17*(E117-1)</f>
        <v>23434518.6326263</v>
      </c>
      <c r="J117" s="14" t="n">
        <f aca="false">ROUND(F117-H117,2)</f>
        <v>660118003.98</v>
      </c>
    </row>
    <row r="118" customFormat="false" ht="15" hidden="false" customHeight="false" outlineLevel="0" collapsed="false">
      <c r="E118" s="13" t="n">
        <v>114</v>
      </c>
      <c r="F118" s="14" t="n">
        <f aca="false">J117</f>
        <v>660118003.98</v>
      </c>
      <c r="G118" s="14" t="n">
        <f aca="false">F118*$B$13</f>
        <v>7007910.00622218</v>
      </c>
      <c r="H118" s="14" t="n">
        <f aca="false">I118-G118</f>
        <v>16536608.6264041</v>
      </c>
      <c r="I118" s="14" t="n">
        <f aca="false">$B$18+$B$17*(E118-1)</f>
        <v>23544518.6326263</v>
      </c>
      <c r="J118" s="14" t="n">
        <f aca="false">ROUND(F118-H118,2)</f>
        <v>643581395.35</v>
      </c>
    </row>
    <row r="119" customFormat="false" ht="15" hidden="false" customHeight="false" outlineLevel="0" collapsed="false">
      <c r="E119" s="13" t="n">
        <v>115</v>
      </c>
      <c r="F119" s="14" t="n">
        <f aca="false">J118</f>
        <v>643581395.35</v>
      </c>
      <c r="G119" s="14" t="n">
        <f aca="false">F119*$B$13</f>
        <v>6832354.93214686</v>
      </c>
      <c r="H119" s="14" t="n">
        <f aca="false">I119-G119</f>
        <v>16822163.7004794</v>
      </c>
      <c r="I119" s="14" t="n">
        <f aca="false">$B$18+$B$17*(E119-1)</f>
        <v>23654518.6326263</v>
      </c>
      <c r="J119" s="14" t="n">
        <f aca="false">ROUND(F119-H119,2)</f>
        <v>626759231.65</v>
      </c>
    </row>
    <row r="120" customFormat="false" ht="15" hidden="false" customHeight="false" outlineLevel="0" collapsed="false">
      <c r="E120" s="13" t="n">
        <v>116</v>
      </c>
      <c r="F120" s="14" t="n">
        <f aca="false">J119</f>
        <v>626759231.65</v>
      </c>
      <c r="G120" s="14" t="n">
        <f aca="false">F120*$B$13</f>
        <v>6653768.36336861</v>
      </c>
      <c r="H120" s="14" t="n">
        <f aca="false">I120-G120</f>
        <v>17110750.2692577</v>
      </c>
      <c r="I120" s="14" t="n">
        <f aca="false">$B$18+$B$17*(E120-1)</f>
        <v>23764518.6326263</v>
      </c>
      <c r="J120" s="14" t="n">
        <f aca="false">ROUND(F120-H120,2)</f>
        <v>609648481.38</v>
      </c>
    </row>
    <row r="121" customFormat="false" ht="15" hidden="false" customHeight="false" outlineLevel="0" collapsed="false">
      <c r="E121" s="13" t="n">
        <v>117</v>
      </c>
      <c r="F121" s="14" t="n">
        <f aca="false">J120</f>
        <v>609648481.38</v>
      </c>
      <c r="G121" s="14" t="n">
        <f aca="false">F121*$B$13</f>
        <v>6472118.11703669</v>
      </c>
      <c r="H121" s="14" t="n">
        <f aca="false">I121-G121</f>
        <v>17402400.5155896</v>
      </c>
      <c r="I121" s="14" t="n">
        <f aca="false">$B$18+$B$17*(E121-1)</f>
        <v>23874518.6326263</v>
      </c>
      <c r="J121" s="14" t="n">
        <f aca="false">ROUND(F121-H121,2)</f>
        <v>592246080.86</v>
      </c>
    </row>
    <row r="122" customFormat="false" ht="15" hidden="false" customHeight="false" outlineLevel="0" collapsed="false">
      <c r="E122" s="13" t="n">
        <v>118</v>
      </c>
      <c r="F122" s="14" t="n">
        <f aca="false">J121</f>
        <v>592246080.86</v>
      </c>
      <c r="G122" s="14" t="n">
        <f aca="false">F122*$B$13</f>
        <v>6287371.66867276</v>
      </c>
      <c r="H122" s="14" t="n">
        <f aca="false">I122-G122</f>
        <v>17697146.9639535</v>
      </c>
      <c r="I122" s="14" t="n">
        <f aca="false">$B$18+$B$17*(E122-1)</f>
        <v>23984518.6326263</v>
      </c>
      <c r="J122" s="14" t="n">
        <f aca="false">ROUND(F122-H122,2)</f>
        <v>574548933.9</v>
      </c>
    </row>
    <row r="123" customFormat="false" ht="15" hidden="false" customHeight="false" outlineLevel="0" collapsed="false">
      <c r="E123" s="13" t="n">
        <v>119</v>
      </c>
      <c r="F123" s="14" t="n">
        <f aca="false">J122</f>
        <v>574548933.9</v>
      </c>
      <c r="G123" s="14" t="n">
        <f aca="false">F123*$B$13</f>
        <v>6099496.14866751</v>
      </c>
      <c r="H123" s="14" t="n">
        <f aca="false">I123-G123</f>
        <v>17995022.4839588</v>
      </c>
      <c r="I123" s="14" t="n">
        <f aca="false">$B$18+$B$17*(E123-1)</f>
        <v>24094518.6326263</v>
      </c>
      <c r="J123" s="14" t="n">
        <f aca="false">ROUND(F123-H123,2)</f>
        <v>556553911.42</v>
      </c>
    </row>
    <row r="124" customFormat="false" ht="15" hidden="false" customHeight="false" outlineLevel="0" collapsed="false">
      <c r="E124" s="13" t="n">
        <v>120</v>
      </c>
      <c r="F124" s="14" t="n">
        <f aca="false">J123</f>
        <v>556553911.42</v>
      </c>
      <c r="G124" s="14" t="n">
        <f aca="false">F124*$B$13</f>
        <v>5908458.33824656</v>
      </c>
      <c r="H124" s="14" t="n">
        <f aca="false">I124-G124</f>
        <v>18296060.2943797</v>
      </c>
      <c r="I124" s="14" t="n">
        <f aca="false">$B$18+$B$17*(E124-1)</f>
        <v>24204518.6326263</v>
      </c>
      <c r="J124" s="14" t="n">
        <f aca="false">ROUND(F124-H124,2)</f>
        <v>538257851.13</v>
      </c>
    </row>
    <row r="125" customFormat="false" ht="15" hidden="false" customHeight="false" outlineLevel="0" collapsed="false">
      <c r="E125" s="13" t="n">
        <v>121</v>
      </c>
      <c r="F125" s="14" t="n">
        <f aca="false">J124</f>
        <v>538257851.13</v>
      </c>
      <c r="G125" s="14" t="n">
        <f aca="false">F125*$B$13</f>
        <v>5714224.66607328</v>
      </c>
      <c r="H125" s="14" t="n">
        <f aca="false">I125-G125</f>
        <v>18600293.966553</v>
      </c>
      <c r="I125" s="14" t="n">
        <f aca="false">$B$18+$B$17*(E125-1)</f>
        <v>24314518.6326263</v>
      </c>
      <c r="J125" s="14" t="n">
        <f aca="false">ROUND(F125-H125,2)</f>
        <v>519657557.16</v>
      </c>
    </row>
    <row r="126" customFormat="false" ht="15" hidden="false" customHeight="false" outlineLevel="0" collapsed="false">
      <c r="E126" s="13" t="n">
        <v>122</v>
      </c>
      <c r="F126" s="14" t="n">
        <f aca="false">J125</f>
        <v>519657557.16</v>
      </c>
      <c r="G126" s="14" t="n">
        <f aca="false">F126*$B$13</f>
        <v>5516761.20432078</v>
      </c>
      <c r="H126" s="14" t="n">
        <f aca="false">I126-G126</f>
        <v>18907757.4283055</v>
      </c>
      <c r="I126" s="14" t="n">
        <f aca="false">$B$18+$B$17*(E126-1)</f>
        <v>24424518.6326263</v>
      </c>
      <c r="J126" s="14" t="n">
        <f aca="false">ROUND(F126-H126,2)</f>
        <v>500749799.73</v>
      </c>
    </row>
    <row r="127" customFormat="false" ht="15" hidden="false" customHeight="false" outlineLevel="0" collapsed="false">
      <c r="E127" s="13" t="n">
        <v>123</v>
      </c>
      <c r="F127" s="14" t="n">
        <f aca="false">J126</f>
        <v>500749799.73</v>
      </c>
      <c r="G127" s="14" t="n">
        <f aca="false">F127*$B$13</f>
        <v>5316033.66516866</v>
      </c>
      <c r="H127" s="14" t="n">
        <f aca="false">I127-G127</f>
        <v>19218484.9674576</v>
      </c>
      <c r="I127" s="14" t="n">
        <f aca="false">$B$18+$B$17*(E127-1)</f>
        <v>24534518.6326263</v>
      </c>
      <c r="J127" s="14" t="n">
        <f aca="false">ROUND(F127-H127,2)</f>
        <v>481531314.76</v>
      </c>
    </row>
    <row r="128" customFormat="false" ht="15" hidden="false" customHeight="false" outlineLevel="0" collapsed="false">
      <c r="E128" s="13" t="n">
        <v>124</v>
      </c>
      <c r="F128" s="14" t="n">
        <f aca="false">J127</f>
        <v>481531314.76</v>
      </c>
      <c r="G128" s="14" t="n">
        <f aca="false">F128*$B$13</f>
        <v>5112007.39666262</v>
      </c>
      <c r="H128" s="14" t="n">
        <f aca="false">I128-G128</f>
        <v>19532511.2359637</v>
      </c>
      <c r="I128" s="14" t="n">
        <f aca="false">$B$18+$B$17*(E128-1)</f>
        <v>24644518.6326263</v>
      </c>
      <c r="J128" s="14" t="n">
        <f aca="false">ROUND(F128-H128,2)</f>
        <v>461998803.52</v>
      </c>
    </row>
    <row r="129" customFormat="false" ht="15" hidden="false" customHeight="false" outlineLevel="0" collapsed="false">
      <c r="E129" s="13" t="n">
        <v>125</v>
      </c>
      <c r="F129" s="14" t="n">
        <f aca="false">J128</f>
        <v>461998803.52</v>
      </c>
      <c r="G129" s="14" t="n">
        <f aca="false">F129*$B$13</f>
        <v>4904647.37899888</v>
      </c>
      <c r="H129" s="14" t="n">
        <f aca="false">I129-G129</f>
        <v>19849871.2536274</v>
      </c>
      <c r="I129" s="14" t="n">
        <f aca="false">$B$18+$B$17*(E129-1)</f>
        <v>24754518.6326263</v>
      </c>
      <c r="J129" s="14" t="n">
        <f aca="false">ROUND(F129-H129,2)</f>
        <v>442148932.27</v>
      </c>
    </row>
    <row r="130" customFormat="false" ht="15" hidden="false" customHeight="false" outlineLevel="0" collapsed="false">
      <c r="E130" s="13" t="n">
        <v>126</v>
      </c>
      <c r="F130" s="14" t="n">
        <f aca="false">J129</f>
        <v>442148932.27</v>
      </c>
      <c r="G130" s="14" t="n">
        <f aca="false">F130*$B$13</f>
        <v>4693918.22070234</v>
      </c>
      <c r="H130" s="14" t="n">
        <f aca="false">I130-G130</f>
        <v>20170600.4119239</v>
      </c>
      <c r="I130" s="14" t="n">
        <f aca="false">$B$18+$B$17*(E130-1)</f>
        <v>24864518.6326263</v>
      </c>
      <c r="J130" s="14" t="n">
        <f aca="false">ROUND(F130-H130,2)</f>
        <v>421978331.86</v>
      </c>
    </row>
    <row r="131" customFormat="false" ht="15" hidden="false" customHeight="false" outlineLevel="0" collapsed="false">
      <c r="E131" s="13" t="n">
        <v>127</v>
      </c>
      <c r="F131" s="14" t="n">
        <f aca="false">J130</f>
        <v>421978331.86</v>
      </c>
      <c r="G131" s="14" t="n">
        <f aca="false">F131*$B$13</f>
        <v>4479784.15438012</v>
      </c>
      <c r="H131" s="14" t="n">
        <f aca="false">I131-G131</f>
        <v>20494734.4782462</v>
      </c>
      <c r="I131" s="14" t="n">
        <f aca="false">$B$18+$B$17*(E131-1)</f>
        <v>24974518.6326263</v>
      </c>
      <c r="J131" s="14" t="n">
        <f aca="false">ROUND(F131-H131,2)</f>
        <v>401483597.38</v>
      </c>
    </row>
    <row r="132" customFormat="false" ht="15" hidden="false" customHeight="false" outlineLevel="0" collapsed="false">
      <c r="E132" s="13" t="n">
        <v>128</v>
      </c>
      <c r="F132" s="14" t="n">
        <f aca="false">J131</f>
        <v>401483597.38</v>
      </c>
      <c r="G132" s="14" t="n">
        <f aca="false">F132*$B$13</f>
        <v>4262209.0330059</v>
      </c>
      <c r="H132" s="14" t="n">
        <f aca="false">I132-G132</f>
        <v>20822309.5996204</v>
      </c>
      <c r="I132" s="14" t="n">
        <f aca="false">$B$18+$B$17*(E132-1)</f>
        <v>25084518.6326263</v>
      </c>
      <c r="J132" s="14" t="n">
        <f aca="false">ROUND(F132-H132,2)</f>
        <v>380661287.78</v>
      </c>
    </row>
    <row r="133" customFormat="false" ht="15" hidden="false" customHeight="false" outlineLevel="0" collapsed="false">
      <c r="E133" s="13" t="n">
        <v>129</v>
      </c>
      <c r="F133" s="14" t="n">
        <f aca="false">J132</f>
        <v>380661287.78</v>
      </c>
      <c r="G133" s="14" t="n">
        <f aca="false">F133*$B$13</f>
        <v>4041156.3258858</v>
      </c>
      <c r="H133" s="14" t="n">
        <f aca="false">I133-G133</f>
        <v>21153362.3067405</v>
      </c>
      <c r="I133" s="14" t="n">
        <f aca="false">$B$18+$B$17*(E133-1)</f>
        <v>25194518.6326263</v>
      </c>
      <c r="J133" s="14" t="n">
        <f aca="false">ROUND(F133-H133,2)</f>
        <v>359507925.47</v>
      </c>
    </row>
    <row r="134" customFormat="false" ht="15" hidden="false" customHeight="false" outlineLevel="0" collapsed="false">
      <c r="E134" s="13" t="n">
        <v>130</v>
      </c>
      <c r="F134" s="14" t="n">
        <f aca="false">J133</f>
        <v>359507925.47</v>
      </c>
      <c r="G134" s="14" t="n">
        <f aca="false">F134*$B$13</f>
        <v>3816589.11441192</v>
      </c>
      <c r="H134" s="14" t="n">
        <f aca="false">I134-G134</f>
        <v>21487929.5182144</v>
      </c>
      <c r="I134" s="14" t="n">
        <f aca="false">$B$18+$B$17*(E134-1)</f>
        <v>25304518.6326263</v>
      </c>
      <c r="J134" s="14" t="n">
        <f aca="false">ROUND(F134-H134,2)</f>
        <v>338019995.95</v>
      </c>
    </row>
    <row r="135" customFormat="false" ht="15" hidden="false" customHeight="false" outlineLevel="0" collapsed="false">
      <c r="E135" s="13" t="n">
        <v>131</v>
      </c>
      <c r="F135" s="14" t="n">
        <f aca="false">J134</f>
        <v>338019995.95</v>
      </c>
      <c r="G135" s="14" t="n">
        <f aca="false">F135*$B$13</f>
        <v>3588470.08813435</v>
      </c>
      <c r="H135" s="14" t="n">
        <f aca="false">I135-G135</f>
        <v>21826048.5444919</v>
      </c>
      <c r="I135" s="14" t="n">
        <f aca="false">$B$18+$B$17*(E135-1)</f>
        <v>25414518.6326263</v>
      </c>
      <c r="J135" s="14" t="n">
        <f aca="false">ROUND(F135-H135,2)</f>
        <v>316193947.41</v>
      </c>
    </row>
    <row r="136" customFormat="false" ht="15" hidden="false" customHeight="false" outlineLevel="0" collapsed="false">
      <c r="E136" s="13" t="n">
        <v>132</v>
      </c>
      <c r="F136" s="14" t="n">
        <f aca="false">J135</f>
        <v>316193947.41</v>
      </c>
      <c r="G136" s="14" t="n">
        <f aca="false">F136*$B$13</f>
        <v>3356761.54051475</v>
      </c>
      <c r="H136" s="14" t="n">
        <f aca="false">I136-G136</f>
        <v>22167757.0921115</v>
      </c>
      <c r="I136" s="14" t="n">
        <f aca="false">$B$18+$B$17*(E136-1)</f>
        <v>25524518.6326263</v>
      </c>
      <c r="J136" s="14" t="n">
        <f aca="false">ROUND(F136-H136,2)</f>
        <v>294026190.32</v>
      </c>
    </row>
    <row r="137" customFormat="false" ht="15" hidden="false" customHeight="false" outlineLevel="0" collapsed="false">
      <c r="E137" s="13" t="n">
        <v>133</v>
      </c>
      <c r="F137" s="14" t="n">
        <f aca="false">J136</f>
        <v>294026190.32</v>
      </c>
      <c r="G137" s="14" t="n">
        <f aca="false">F137*$B$13</f>
        <v>3121425.36457367</v>
      </c>
      <c r="H137" s="14" t="n">
        <f aca="false">I137-G137</f>
        <v>22513093.2680526</v>
      </c>
      <c r="I137" s="14" t="n">
        <f aca="false">$B$18+$B$17*(E137-1)</f>
        <v>25634518.6326263</v>
      </c>
      <c r="J137" s="14" t="n">
        <f aca="false">ROUND(F137-H137,2)</f>
        <v>271513097.05</v>
      </c>
    </row>
    <row r="138" customFormat="false" ht="15" hidden="false" customHeight="false" outlineLevel="0" collapsed="false">
      <c r="E138" s="13" t="n">
        <v>134</v>
      </c>
      <c r="F138" s="14" t="n">
        <f aca="false">J137</f>
        <v>271513097.05</v>
      </c>
      <c r="G138" s="14" t="n">
        <f aca="false">F138*$B$13</f>
        <v>2882423.04885645</v>
      </c>
      <c r="H138" s="14" t="n">
        <f aca="false">I138-G138</f>
        <v>22862095.5837698</v>
      </c>
      <c r="I138" s="14" t="n">
        <f aca="false">$B$18+$B$17*(E138-1)</f>
        <v>25744518.6326263</v>
      </c>
      <c r="J138" s="14" t="n">
        <f aca="false">ROUND(F138-H138,2)</f>
        <v>248651001.47</v>
      </c>
    </row>
    <row r="139" customFormat="false" ht="15" hidden="false" customHeight="false" outlineLevel="0" collapsed="false">
      <c r="E139" s="13" t="n">
        <v>135</v>
      </c>
      <c r="F139" s="14" t="n">
        <f aca="false">J138</f>
        <v>248651001.47</v>
      </c>
      <c r="G139" s="14" t="n">
        <f aca="false">F139*$B$13</f>
        <v>2639715.67318678</v>
      </c>
      <c r="H139" s="14" t="n">
        <f aca="false">I139-G139</f>
        <v>23214802.9594395</v>
      </c>
      <c r="I139" s="14" t="n">
        <f aca="false">$B$18+$B$17*(E139-1)</f>
        <v>25854518.6326263</v>
      </c>
      <c r="J139" s="14" t="n">
        <f aca="false">ROUND(F139-H139,2)</f>
        <v>225436198.51</v>
      </c>
    </row>
    <row r="140" customFormat="false" ht="15" hidden="false" customHeight="false" outlineLevel="0" collapsed="false">
      <c r="E140" s="13" t="n">
        <v>136</v>
      </c>
      <c r="F140" s="14" t="n">
        <f aca="false">J139</f>
        <v>225436198.51</v>
      </c>
      <c r="G140" s="14" t="n">
        <f aca="false">F140*$B$13</f>
        <v>2393263.90399554</v>
      </c>
      <c r="H140" s="14" t="n">
        <f aca="false">I140-G140</f>
        <v>23571254.7286307</v>
      </c>
      <c r="I140" s="14" t="n">
        <f aca="false">$B$18+$B$17*(E140-1)</f>
        <v>25964518.6326263</v>
      </c>
      <c r="J140" s="14" t="n">
        <f aca="false">ROUND(F140-H140,2)</f>
        <v>201864943.78</v>
      </c>
    </row>
    <row r="141" customFormat="false" ht="15" hidden="false" customHeight="false" outlineLevel="0" collapsed="false">
      <c r="E141" s="13" t="n">
        <v>137</v>
      </c>
      <c r="F141" s="14" t="n">
        <f aca="false">J140</f>
        <v>201864943.78</v>
      </c>
      <c r="G141" s="14" t="n">
        <f aca="false">F141*$B$13</f>
        <v>2143027.99028672</v>
      </c>
      <c r="H141" s="14" t="n">
        <f aca="false">I141-G141</f>
        <v>23931490.6423396</v>
      </c>
      <c r="I141" s="14" t="n">
        <f aca="false">$B$18+$B$17*(E141-1)</f>
        <v>26074518.6326263</v>
      </c>
      <c r="J141" s="14" t="n">
        <f aca="false">ROUND(F141-H141,2)</f>
        <v>177933453.14</v>
      </c>
    </row>
    <row r="142" customFormat="false" ht="15" hidden="false" customHeight="false" outlineLevel="0" collapsed="false">
      <c r="E142" s="13" t="n">
        <v>138</v>
      </c>
      <c r="F142" s="14" t="n">
        <f aca="false">J141</f>
        <v>177933453.14</v>
      </c>
      <c r="G142" s="14" t="n">
        <f aca="false">F142*$B$13</f>
        <v>1888967.75907244</v>
      </c>
      <c r="H142" s="14" t="n">
        <f aca="false">I142-G142</f>
        <v>24295550.8735539</v>
      </c>
      <c r="I142" s="14" t="n">
        <f aca="false">$B$18+$B$17*(E142-1)</f>
        <v>26184518.6326263</v>
      </c>
      <c r="J142" s="14" t="n">
        <f aca="false">ROUND(F142-H142,2)</f>
        <v>153637902.27</v>
      </c>
    </row>
    <row r="143" customFormat="false" ht="15" hidden="false" customHeight="false" outlineLevel="0" collapsed="false">
      <c r="E143" s="13" t="n">
        <v>139</v>
      </c>
      <c r="F143" s="14" t="n">
        <f aca="false">J142</f>
        <v>153637902.27</v>
      </c>
      <c r="G143" s="14" t="n">
        <f aca="false">F143*$B$13</f>
        <v>1631042.61080802</v>
      </c>
      <c r="H143" s="14" t="n">
        <f aca="false">I143-G143</f>
        <v>24663476.0218183</v>
      </c>
      <c r="I143" s="14" t="n">
        <f aca="false">$B$18+$B$17*(E143-1)</f>
        <v>26294518.6326263</v>
      </c>
      <c r="J143" s="14" t="n">
        <f aca="false">ROUND(F143-H143,2)</f>
        <v>128974426.25</v>
      </c>
    </row>
    <row r="144" customFormat="false" ht="15" hidden="false" customHeight="false" outlineLevel="0" collapsed="false">
      <c r="E144" s="13" t="n">
        <v>140</v>
      </c>
      <c r="F144" s="14" t="n">
        <f aca="false">J143</f>
        <v>128974426.25</v>
      </c>
      <c r="G144" s="14" t="n">
        <f aca="false">F144*$B$13</f>
        <v>1369211.51493321</v>
      </c>
      <c r="H144" s="14" t="n">
        <f aca="false">I144-G144</f>
        <v>25035307.1176931</v>
      </c>
      <c r="I144" s="14" t="n">
        <f aca="false">$B$18+$B$17*(E144-1)</f>
        <v>26404518.6326263</v>
      </c>
      <c r="J144" s="14" t="n">
        <f aca="false">ROUND(F144-H144,2)</f>
        <v>103939119.13</v>
      </c>
    </row>
    <row r="145" customFormat="false" ht="15" hidden="false" customHeight="false" outlineLevel="0" collapsed="false">
      <c r="E145" s="13" t="n">
        <v>141</v>
      </c>
      <c r="F145" s="14" t="n">
        <f aca="false">J144</f>
        <v>103939119.13</v>
      </c>
      <c r="G145" s="14" t="n">
        <f aca="false">F145*$B$13</f>
        <v>1103433.00530721</v>
      </c>
      <c r="H145" s="14" t="n">
        <f aca="false">I145-G145</f>
        <v>25411085.6273191</v>
      </c>
      <c r="I145" s="14" t="n">
        <f aca="false">$B$18+$B$17*(E145-1)</f>
        <v>26514518.6326263</v>
      </c>
      <c r="J145" s="14" t="n">
        <f aca="false">ROUND(F145-H145,2)</f>
        <v>78528033.5</v>
      </c>
    </row>
    <row r="146" customFormat="false" ht="15" hidden="false" customHeight="false" outlineLevel="0" collapsed="false">
      <c r="E146" s="13" t="n">
        <v>142</v>
      </c>
      <c r="F146" s="14" t="n">
        <f aca="false">J145</f>
        <v>78528033.5</v>
      </c>
      <c r="G146" s="14" t="n">
        <f aca="false">F146*$B$13</f>
        <v>833665.175643768</v>
      </c>
      <c r="H146" s="14" t="n">
        <f aca="false">I146-G146</f>
        <v>25790853.4569825</v>
      </c>
      <c r="I146" s="14" t="n">
        <f aca="false">$B$18+$B$17*(E146-1)</f>
        <v>26624518.6326263</v>
      </c>
      <c r="J146" s="14" t="n">
        <f aca="false">ROUND(F146-H146,2)</f>
        <v>52737180.04</v>
      </c>
    </row>
    <row r="147" customFormat="false" ht="15" hidden="false" customHeight="false" outlineLevel="0" collapsed="false">
      <c r="E147" s="13" t="n">
        <v>143</v>
      </c>
      <c r="F147" s="14" t="n">
        <f aca="false">J146</f>
        <v>52737180.04</v>
      </c>
      <c r="G147" s="14" t="n">
        <f aca="false">F147*$B$13</f>
        <v>559865.674733898</v>
      </c>
      <c r="H147" s="14" t="n">
        <f aca="false">I147-G147</f>
        <v>26174652.9578924</v>
      </c>
      <c r="I147" s="14" t="n">
        <f aca="false">$B$18+$B$17*(E147-1)</f>
        <v>26734518.6326263</v>
      </c>
      <c r="J147" s="14" t="n">
        <f aca="false">ROUND(F147-H147,2)</f>
        <v>26562527.08</v>
      </c>
    </row>
    <row r="148" customFormat="false" ht="15" hidden="false" customHeight="false" outlineLevel="0" collapsed="false">
      <c r="E148" s="13" t="n">
        <v>144</v>
      </c>
      <c r="F148" s="14" t="n">
        <f aca="false">J147</f>
        <v>26562527.08</v>
      </c>
      <c r="G148" s="14" t="n">
        <f aca="false">F148*$B$13</f>
        <v>281991.701774762</v>
      </c>
      <c r="H148" s="14" t="n">
        <f aca="false">I148-G148</f>
        <v>26562526.9308515</v>
      </c>
      <c r="I148" s="14" t="n">
        <f aca="false">$B$18+$B$17*(E148-1)</f>
        <v>26844518.6326263</v>
      </c>
      <c r="J148" s="14" t="n">
        <f aca="false">ROUND(F148-H148,2)</f>
        <v>0.15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J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7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10" min="9" style="0" width="18"/>
  </cols>
  <sheetData>
    <row r="1" customFormat="false" ht="16.15" hidden="false" customHeight="false" outlineLevel="0" collapsed="false">
      <c r="A1" s="10" t="s">
        <v>212</v>
      </c>
    </row>
    <row r="2" customFormat="false" ht="15" hidden="false" customHeight="false" outlineLevel="0" collapsed="false">
      <c r="A2" s="2" t="s">
        <v>213</v>
      </c>
    </row>
    <row r="4" customFormat="false" ht="23.85" hidden="false" customHeight="false" outlineLevel="0" collapsed="false">
      <c r="A4" s="7" t="s">
        <v>123</v>
      </c>
      <c r="E4" s="3" t="s">
        <v>124</v>
      </c>
      <c r="F4" s="3" t="s">
        <v>125</v>
      </c>
      <c r="G4" s="3" t="s">
        <v>126</v>
      </c>
      <c r="H4" s="3" t="s">
        <v>127</v>
      </c>
      <c r="I4" s="3" t="s">
        <v>128</v>
      </c>
      <c r="J4" s="3" t="s">
        <v>129</v>
      </c>
    </row>
    <row r="5" customFormat="false" ht="15" hidden="false" customHeight="false" outlineLevel="0" collapsed="false">
      <c r="A5" s="11" t="s">
        <v>130</v>
      </c>
      <c r="B5" s="12" t="n">
        <v>549875412</v>
      </c>
      <c r="E5" s="13" t="n">
        <v>1</v>
      </c>
      <c r="F5" s="14" t="n">
        <f aca="false">$B$5</f>
        <v>549875412</v>
      </c>
      <c r="G5" s="14" t="n">
        <f aca="false">F5*$B$10</f>
        <v>60486295.3200001</v>
      </c>
      <c r="H5" s="14" t="n">
        <f aca="false">I5-G5</f>
        <v>-9622819.71000005</v>
      </c>
      <c r="I5" s="14" t="n">
        <f aca="false">$B$15*(1+$B$14)^(E5-1)</f>
        <v>50863475.61</v>
      </c>
      <c r="J5" s="14" t="n">
        <f aca="false">ROUND(F5-H5,2)</f>
        <v>559498231.71</v>
      </c>
    </row>
    <row r="6" customFormat="false" ht="15" hidden="false" customHeight="false" outlineLevel="0" collapsed="false">
      <c r="A6" s="11" t="s">
        <v>156</v>
      </c>
      <c r="B6" s="28" t="n">
        <v>0.0264333272479387</v>
      </c>
      <c r="C6" s="16" t="s">
        <v>214</v>
      </c>
      <c r="E6" s="13" t="n">
        <v>2</v>
      </c>
      <c r="F6" s="14" t="n">
        <f aca="false">J5</f>
        <v>559498231.71</v>
      </c>
      <c r="G6" s="14" t="n">
        <f aca="false">F6*$B$10</f>
        <v>61544805.4881001</v>
      </c>
      <c r="H6" s="14" t="n">
        <f aca="false">I6-G6</f>
        <v>-5086347.56100005</v>
      </c>
      <c r="I6" s="14" t="n">
        <f aca="false">$B$15*(1+$B$14)^(E6-1)</f>
        <v>56458457.9271</v>
      </c>
      <c r="J6" s="14" t="n">
        <f aca="false">ROUND(F6-H6,2)</f>
        <v>564584579.27</v>
      </c>
    </row>
    <row r="7" customFormat="false" ht="15" hidden="false" customHeight="false" outlineLevel="0" collapsed="false">
      <c r="A7" s="11" t="s">
        <v>169</v>
      </c>
      <c r="B7" s="17" t="n">
        <v>12</v>
      </c>
      <c r="E7" s="13" t="n">
        <v>3</v>
      </c>
      <c r="F7" s="14" t="n">
        <f aca="false">J6</f>
        <v>564584579.27</v>
      </c>
      <c r="G7" s="14" t="n">
        <f aca="false">F7*$B$10</f>
        <v>62104303.7197001</v>
      </c>
      <c r="H7" s="14" t="n">
        <f aca="false">I7-G7</f>
        <v>564584.579380967</v>
      </c>
      <c r="I7" s="14" t="n">
        <f aca="false">$B$15*(1+$B$14)^(E7-1)</f>
        <v>62668888.299081</v>
      </c>
      <c r="J7" s="14" t="n">
        <f aca="false">ROUND(F7-H7,2)</f>
        <v>564019994.69</v>
      </c>
    </row>
    <row r="8" customFormat="false" ht="15" hidden="false" customHeight="false" outlineLevel="0" collapsed="false">
      <c r="E8" s="13" t="n">
        <v>4</v>
      </c>
      <c r="F8" s="14" t="n">
        <f aca="false">J7</f>
        <v>564019994.69</v>
      </c>
      <c r="G8" s="14" t="n">
        <f aca="false">F8*$B$10</f>
        <v>62042199.4159001</v>
      </c>
      <c r="H8" s="14" t="n">
        <f aca="false">I8-G8</f>
        <v>7520266.59607988</v>
      </c>
      <c r="I8" s="14" t="n">
        <f aca="false">$B$15*(1+$B$14)^(E8-1)</f>
        <v>69562466.0119799</v>
      </c>
      <c r="J8" s="14" t="n">
        <f aca="false">ROUND(F8-H8,2)</f>
        <v>556499728.09</v>
      </c>
    </row>
    <row r="9" customFormat="false" ht="15" hidden="false" customHeight="false" outlineLevel="0" collapsed="false">
      <c r="A9" s="7" t="s">
        <v>136</v>
      </c>
      <c r="E9" s="13" t="n">
        <v>5</v>
      </c>
      <c r="F9" s="14" t="n">
        <f aca="false">J8</f>
        <v>556499728.09</v>
      </c>
      <c r="G9" s="14" t="n">
        <f aca="false">F9*$B$10</f>
        <v>61214970.0899001</v>
      </c>
      <c r="H9" s="14" t="n">
        <f aca="false">I9-G9</f>
        <v>15999367.1833977</v>
      </c>
      <c r="I9" s="14" t="n">
        <f aca="false">$B$15*(1+$B$14)^(E9-1)</f>
        <v>77214337.2732977</v>
      </c>
      <c r="J9" s="14" t="n">
        <f aca="false">ROUND(F9-H9,2)</f>
        <v>540500360.91</v>
      </c>
    </row>
    <row r="10" customFormat="false" ht="15" hidden="false" customHeight="false" outlineLevel="0" collapsed="false">
      <c r="A10" s="11" t="s">
        <v>137</v>
      </c>
      <c r="B10" s="19" t="n">
        <f aca="false">(1+$B$6)^4-1</f>
        <v>0.11</v>
      </c>
      <c r="E10" s="13" t="n">
        <v>6</v>
      </c>
      <c r="F10" s="14" t="n">
        <f aca="false">J9</f>
        <v>540500360.91</v>
      </c>
      <c r="G10" s="14" t="n">
        <f aca="false">F10*$B$10</f>
        <v>59455039.7001001</v>
      </c>
      <c r="H10" s="14" t="n">
        <f aca="false">I10-G10</f>
        <v>26252874.6732605</v>
      </c>
      <c r="I10" s="14" t="n">
        <f aca="false">$B$15*(1+$B$14)^(E10-1)</f>
        <v>85707914.3733605</v>
      </c>
      <c r="J10" s="14" t="n">
        <f aca="false">ROUND(F10-H10,2)</f>
        <v>514247486.24</v>
      </c>
    </row>
    <row r="11" customFormat="false" ht="15" hidden="false" customHeight="false" outlineLevel="0" collapsed="false">
      <c r="A11" s="11" t="s">
        <v>215</v>
      </c>
      <c r="B11" s="20" t="n">
        <f aca="false">$B$7</f>
        <v>12</v>
      </c>
      <c r="E11" s="13" t="n">
        <v>7</v>
      </c>
      <c r="F11" s="14" t="n">
        <f aca="false">J10</f>
        <v>514247486.24</v>
      </c>
      <c r="G11" s="14" t="n">
        <f aca="false">F11*$B$10</f>
        <v>56567223.4864001</v>
      </c>
      <c r="H11" s="14" t="n">
        <f aca="false">I11-G11</f>
        <v>38568561.4680301</v>
      </c>
      <c r="I11" s="14" t="n">
        <f aca="false">$B$15*(1+$B$14)^(E11-1)</f>
        <v>95135784.9544302</v>
      </c>
      <c r="J11" s="14" t="n">
        <f aca="false">ROUND(F11-H11,2)</f>
        <v>475678924.77</v>
      </c>
    </row>
    <row r="12" customFormat="false" ht="15" hidden="false" customHeight="false" outlineLevel="0" collapsed="false">
      <c r="E12" s="13" t="n">
        <v>8</v>
      </c>
      <c r="F12" s="14" t="n">
        <f aca="false">J11</f>
        <v>475678924.77</v>
      </c>
      <c r="G12" s="14" t="n">
        <f aca="false">F12*$B$10</f>
        <v>52324681.7247</v>
      </c>
      <c r="H12" s="14" t="n">
        <f aca="false">I12-G12</f>
        <v>53276039.5747174</v>
      </c>
      <c r="I12" s="14" t="n">
        <f aca="false">$B$15*(1+$B$14)^(E12-1)</f>
        <v>105600721.299417</v>
      </c>
      <c r="J12" s="14" t="n">
        <f aca="false">ROUND(F12-H12,2)</f>
        <v>422402885.2</v>
      </c>
    </row>
    <row r="13" customFormat="false" ht="15" hidden="false" customHeight="false" outlineLevel="0" collapsed="false">
      <c r="A13" s="7" t="s">
        <v>128</v>
      </c>
      <c r="E13" s="13" t="n">
        <v>9</v>
      </c>
      <c r="F13" s="14" t="n">
        <f aca="false">J12</f>
        <v>422402885.2</v>
      </c>
      <c r="G13" s="14" t="n">
        <f aca="false">F13*$B$10</f>
        <v>46464317.372</v>
      </c>
      <c r="H13" s="14" t="n">
        <f aca="false">I13-G13</f>
        <v>70752483.2703534</v>
      </c>
      <c r="I13" s="14" t="n">
        <f aca="false">$B$15*(1+$B$14)^(E13-1)</f>
        <v>117216800.642353</v>
      </c>
      <c r="J13" s="14" t="n">
        <f aca="false">ROUND(F13-H13,2)</f>
        <v>351650401.93</v>
      </c>
    </row>
    <row r="14" customFormat="false" ht="15" hidden="false" customHeight="false" outlineLevel="0" collapsed="false">
      <c r="A14" s="11" t="s">
        <v>216</v>
      </c>
      <c r="B14" s="15" t="n">
        <v>0.11</v>
      </c>
      <c r="E14" s="13" t="n">
        <v>10</v>
      </c>
      <c r="F14" s="14" t="n">
        <f aca="false">J13</f>
        <v>351650401.93</v>
      </c>
      <c r="G14" s="14" t="n">
        <f aca="false">F14*$B$10</f>
        <v>38681544.2123</v>
      </c>
      <c r="H14" s="14" t="n">
        <f aca="false">I14-G14</f>
        <v>91429104.5007123</v>
      </c>
      <c r="I14" s="14" t="n">
        <f aca="false">$B$15*(1+$B$14)^(E14-1)</f>
        <v>130110648.713012</v>
      </c>
      <c r="J14" s="14" t="n">
        <f aca="false">ROUND(F14-H14,2)</f>
        <v>260221297.43</v>
      </c>
    </row>
    <row r="15" customFormat="false" ht="15" hidden="false" customHeight="false" outlineLevel="0" collapsed="false">
      <c r="A15" s="11" t="s">
        <v>208</v>
      </c>
      <c r="B15" s="21" t="n">
        <f aca="false">IF(ABS($B$10-$B$14)&lt;0.000001,$B$5*(1+$B$10)/$B$11,$B$5*($B$10-$B$14)/(1-((1+$B$14)/(1+$B$10))^$B$11))</f>
        <v>50863475.61</v>
      </c>
      <c r="C15" s="16" t="s">
        <v>217</v>
      </c>
      <c r="E15" s="13" t="n">
        <v>11</v>
      </c>
      <c r="F15" s="14" t="n">
        <f aca="false">J14</f>
        <v>260221297.43</v>
      </c>
      <c r="G15" s="14" t="n">
        <f aca="false">F15*$B$10</f>
        <v>28624342.7173</v>
      </c>
      <c r="H15" s="14" t="n">
        <f aca="false">I15-G15</f>
        <v>115798477.354144</v>
      </c>
      <c r="I15" s="14" t="n">
        <f aca="false">$B$15*(1+$B$14)^(E15-1)</f>
        <v>144422820.071444</v>
      </c>
      <c r="J15" s="14" t="n">
        <f aca="false">ROUND(F15-H15,2)</f>
        <v>144422820.08</v>
      </c>
    </row>
    <row r="16" customFormat="false" ht="15" hidden="false" customHeight="false" outlineLevel="0" collapsed="false">
      <c r="E16" s="13" t="n">
        <v>12</v>
      </c>
      <c r="F16" s="14" t="n">
        <f aca="false">J15</f>
        <v>144422820.08</v>
      </c>
      <c r="G16" s="14" t="n">
        <f aca="false">F16*$B$10</f>
        <v>15886510.2088</v>
      </c>
      <c r="H16" s="14" t="n">
        <f aca="false">I16-G16</f>
        <v>144422820.070503</v>
      </c>
      <c r="I16" s="14" t="n">
        <f aca="false">$B$15*(1+$B$14)^(E16-1)</f>
        <v>160309330.279303</v>
      </c>
      <c r="J16" s="14" t="n">
        <f aca="false">ROUND(F16-H16,2)</f>
        <v>0.01</v>
      </c>
    </row>
    <row r="17" customFormat="false" ht="15" hidden="false" customHeight="false" outlineLevel="0" collapsed="false">
      <c r="A17" s="7" t="s">
        <v>143</v>
      </c>
    </row>
    <row r="18" customFormat="false" ht="15" hidden="false" customHeight="false" outlineLevel="0" collapsed="false">
      <c r="A18" s="11" t="s">
        <v>144</v>
      </c>
      <c r="B18" s="22" t="n">
        <f aca="false">SUM(G5:G16)</f>
        <v>605396233.4552</v>
      </c>
    </row>
    <row r="19" customFormat="false" ht="15" hidden="false" customHeight="false" outlineLevel="0" collapsed="false">
      <c r="A19" s="11" t="s">
        <v>145</v>
      </c>
      <c r="B19" s="14" t="n">
        <f aca="false">SUM(I5:I16)</f>
        <v>1155271645.45478</v>
      </c>
    </row>
    <row r="20" customFormat="false" ht="15" hidden="false" customHeight="false" outlineLevel="0" collapsed="false">
      <c r="A20" s="11" t="s">
        <v>146</v>
      </c>
      <c r="B20" s="23" t="n">
        <f aca="false">J16</f>
        <v>0.01</v>
      </c>
    </row>
    <row r="21" customFormat="false" ht="15" hidden="false" customHeight="false" outlineLevel="0" collapsed="false">
      <c r="A21" s="11" t="s">
        <v>147</v>
      </c>
      <c r="B21" s="14" t="n">
        <f aca="false">NPV($B$10,I5:I16)</f>
        <v>549875412</v>
      </c>
    </row>
    <row r="22" customFormat="false" ht="15" hidden="false" customHeight="false" outlineLevel="0" collapsed="false">
      <c r="A22" s="11" t="s">
        <v>148</v>
      </c>
      <c r="B22" s="24" t="str">
        <f aca="false">IF(AND(ABS(J16)&lt;1,ABS(B21-$B$5)&lt;1),"Tabla correcta","Revisar")</f>
        <v>Tabla correcta</v>
      </c>
    </row>
    <row r="23" customFormat="false" ht="15" hidden="false" customHeight="false" outlineLevel="0" collapsed="false">
      <c r="A23" s="11" t="s">
        <v>218</v>
      </c>
      <c r="B23" s="22" t="n">
        <f aca="false">J5</f>
        <v>559498231.71</v>
      </c>
    </row>
    <row r="24" customFormat="false" ht="15" hidden="false" customHeight="false" outlineLevel="0" collapsed="false">
      <c r="A24" s="11" t="s">
        <v>211</v>
      </c>
      <c r="B24" s="22" t="n">
        <f aca="false">$B$15*(1+$B$14)^($B$11-1)</f>
        <v>160309330.279303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7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10" min="9" style="0" width="18"/>
  </cols>
  <sheetData>
    <row r="1" customFormat="false" ht="16.15" hidden="false" customHeight="false" outlineLevel="0" collapsed="false">
      <c r="A1" s="10" t="s">
        <v>219</v>
      </c>
    </row>
    <row r="2" customFormat="false" ht="15" hidden="false" customHeight="false" outlineLevel="0" collapsed="false">
      <c r="A2" s="2" t="s">
        <v>220</v>
      </c>
    </row>
    <row r="4" customFormat="false" ht="23.85" hidden="false" customHeight="false" outlineLevel="0" collapsed="false">
      <c r="A4" s="7" t="s">
        <v>123</v>
      </c>
      <c r="E4" s="3" t="s">
        <v>124</v>
      </c>
      <c r="F4" s="3" t="s">
        <v>125</v>
      </c>
      <c r="G4" s="3" t="s">
        <v>126</v>
      </c>
      <c r="H4" s="3" t="s">
        <v>127</v>
      </c>
      <c r="I4" s="3" t="s">
        <v>128</v>
      </c>
      <c r="J4" s="3" t="s">
        <v>129</v>
      </c>
    </row>
    <row r="5" customFormat="false" ht="15" hidden="false" customHeight="false" outlineLevel="0" collapsed="false">
      <c r="A5" s="11" t="s">
        <v>130</v>
      </c>
      <c r="B5" s="12" t="n">
        <v>13548796214</v>
      </c>
      <c r="E5" s="13" t="n">
        <v>1</v>
      </c>
      <c r="F5" s="14" t="n">
        <f aca="false">$B$5</f>
        <v>13548796214</v>
      </c>
      <c r="G5" s="14" t="n">
        <f aca="false">F5*$B$13</f>
        <v>741180993.728492</v>
      </c>
      <c r="H5" s="14" t="n">
        <f aca="false">I5-G5</f>
        <v>396393348.251153</v>
      </c>
      <c r="I5" s="14" t="n">
        <f aca="false">$B$18+$B$17*(E5-1)</f>
        <v>1137574341.97965</v>
      </c>
      <c r="J5" s="14" t="n">
        <f aca="false">ROUND(F5-H5,2)</f>
        <v>13152402865.75</v>
      </c>
    </row>
    <row r="6" customFormat="false" ht="15" hidden="false" customHeight="false" outlineLevel="0" collapsed="false">
      <c r="A6" s="11" t="s">
        <v>221</v>
      </c>
      <c r="B6" s="15" t="n">
        <v>0.2121</v>
      </c>
      <c r="C6" s="16" t="s">
        <v>222</v>
      </c>
      <c r="E6" s="13" t="n">
        <v>2</v>
      </c>
      <c r="F6" s="14" t="n">
        <f aca="false">J5</f>
        <v>13152402865.75</v>
      </c>
      <c r="G6" s="14" t="n">
        <f aca="false">F6*$B$13</f>
        <v>719496468.319532</v>
      </c>
      <c r="H6" s="14" t="n">
        <f aca="false">I6-G6</f>
        <v>417227873.660113</v>
      </c>
      <c r="I6" s="14" t="n">
        <f aca="false">$B$18+$B$17*(E6-1)</f>
        <v>1136724341.97965</v>
      </c>
      <c r="J6" s="14" t="n">
        <f aca="false">ROUND(F6-H6,2)</f>
        <v>12735174992.09</v>
      </c>
    </row>
    <row r="7" customFormat="false" ht="15" hidden="false" customHeight="false" outlineLevel="0" collapsed="false">
      <c r="A7" s="11" t="s">
        <v>169</v>
      </c>
      <c r="B7" s="17" t="n">
        <v>5</v>
      </c>
      <c r="E7" s="13" t="n">
        <v>3</v>
      </c>
      <c r="F7" s="14" t="n">
        <f aca="false">J6</f>
        <v>12735174992.09</v>
      </c>
      <c r="G7" s="14" t="n">
        <f aca="false">F7*$B$13</f>
        <v>696672199.275541</v>
      </c>
      <c r="H7" s="14" t="n">
        <f aca="false">I7-G7</f>
        <v>439202142.704104</v>
      </c>
      <c r="I7" s="14" t="n">
        <f aca="false">$B$18+$B$17*(E7-1)</f>
        <v>1135874341.97965</v>
      </c>
      <c r="J7" s="14" t="n">
        <f aca="false">ROUND(F7-H7,2)</f>
        <v>12295972849.39</v>
      </c>
    </row>
    <row r="8" customFormat="false" ht="15" hidden="false" customHeight="false" outlineLevel="0" collapsed="false">
      <c r="E8" s="13" t="n">
        <v>4</v>
      </c>
      <c r="F8" s="14" t="n">
        <f aca="false">J7</f>
        <v>12295972849.39</v>
      </c>
      <c r="G8" s="14" t="n">
        <f aca="false">F8*$B$13</f>
        <v>672645837.417821</v>
      </c>
      <c r="H8" s="14" t="n">
        <f aca="false">I8-G8</f>
        <v>462378504.561824</v>
      </c>
      <c r="I8" s="14" t="n">
        <f aca="false">$B$18+$B$17*(E8-1)</f>
        <v>1135024341.97965</v>
      </c>
      <c r="J8" s="14" t="n">
        <f aca="false">ROUND(F8-H8,2)</f>
        <v>11833594344.83</v>
      </c>
    </row>
    <row r="9" customFormat="false" ht="15" hidden="false" customHeight="false" outlineLevel="0" collapsed="false">
      <c r="A9" s="7" t="s">
        <v>136</v>
      </c>
      <c r="E9" s="13" t="n">
        <v>5</v>
      </c>
      <c r="F9" s="14" t="n">
        <f aca="false">J8</f>
        <v>11833594344.83</v>
      </c>
      <c r="G9" s="14" t="n">
        <f aca="false">F9*$B$13</f>
        <v>647351622.782402</v>
      </c>
      <c r="H9" s="14" t="n">
        <f aca="false">I9-G9</f>
        <v>486822719.197244</v>
      </c>
      <c r="I9" s="14" t="n">
        <f aca="false">$B$18+$B$17*(E9-1)</f>
        <v>1134174341.97965</v>
      </c>
      <c r="J9" s="14" t="n">
        <f aca="false">ROUND(F9-H9,2)</f>
        <v>11346771625.63</v>
      </c>
    </row>
    <row r="10" customFormat="false" ht="15" hidden="false" customHeight="false" outlineLevel="0" collapsed="false">
      <c r="A10" s="11" t="s">
        <v>223</v>
      </c>
      <c r="B10" s="18" t="n">
        <f aca="false">$B$6/24</f>
        <v>0.0088375</v>
      </c>
      <c r="E10" s="13" t="n">
        <v>6</v>
      </c>
      <c r="F10" s="14" t="n">
        <f aca="false">J9</f>
        <v>11346771625.63</v>
      </c>
      <c r="G10" s="14" t="n">
        <f aca="false">F10*$B$13</f>
        <v>620720198.035351</v>
      </c>
      <c r="H10" s="14" t="n">
        <f aca="false">I10-G10</f>
        <v>512604143.944294</v>
      </c>
      <c r="I10" s="14" t="n">
        <f aca="false">$B$18+$B$17*(E10-1)</f>
        <v>1133324341.97965</v>
      </c>
      <c r="J10" s="14" t="n">
        <f aca="false">ROUND(F10-H10,2)</f>
        <v>10834167481.69</v>
      </c>
    </row>
    <row r="11" customFormat="false" ht="15" hidden="false" customHeight="false" outlineLevel="0" collapsed="false">
      <c r="A11" s="11" t="s">
        <v>224</v>
      </c>
      <c r="B11" s="18" t="n">
        <f aca="false">$B$10/(1-$B$10)</f>
        <v>0.00891629778164529</v>
      </c>
      <c r="E11" s="13" t="n">
        <v>7</v>
      </c>
      <c r="F11" s="14" t="n">
        <f aca="false">J10</f>
        <v>10834167481.69</v>
      </c>
      <c r="G11" s="14" t="n">
        <f aca="false">F11*$B$13</f>
        <v>592678411.680767</v>
      </c>
      <c r="H11" s="14" t="n">
        <f aca="false">I11-G11</f>
        <v>539795930.298879</v>
      </c>
      <c r="I11" s="14" t="n">
        <f aca="false">$B$18+$B$17*(E11-1)</f>
        <v>1132474341.97965</v>
      </c>
      <c r="J11" s="14" t="n">
        <f aca="false">ROUND(F11-H11,2)</f>
        <v>10294371551.39</v>
      </c>
    </row>
    <row r="12" customFormat="false" ht="15" hidden="false" customHeight="false" outlineLevel="0" collapsed="false">
      <c r="A12" s="11" t="s">
        <v>158</v>
      </c>
      <c r="B12" s="18" t="n">
        <f aca="false">(1+$B$11)^24-1</f>
        <v>0.237437582127856</v>
      </c>
      <c r="E12" s="13" t="n">
        <v>8</v>
      </c>
      <c r="F12" s="14" t="n">
        <f aca="false">J11</f>
        <v>10294371551.39</v>
      </c>
      <c r="G12" s="14" t="n">
        <f aca="false">F12*$B$13</f>
        <v>563149110.500715</v>
      </c>
      <c r="H12" s="14" t="n">
        <f aca="false">I12-G12</f>
        <v>568475231.47893</v>
      </c>
      <c r="I12" s="14" t="n">
        <f aca="false">$B$18+$B$17*(E12-1)</f>
        <v>1131624341.97965</v>
      </c>
      <c r="J12" s="14" t="n">
        <f aca="false">ROUND(F12-H12,2)</f>
        <v>9725896319.91</v>
      </c>
    </row>
    <row r="13" customFormat="false" ht="15" hidden="false" customHeight="false" outlineLevel="0" collapsed="false">
      <c r="A13" s="11" t="s">
        <v>156</v>
      </c>
      <c r="B13" s="19" t="n">
        <f aca="false">(1+$B$11)^6-1</f>
        <v>0.0547045643038477</v>
      </c>
      <c r="C13" s="16" t="s">
        <v>225</v>
      </c>
      <c r="E13" s="13" t="n">
        <v>9</v>
      </c>
      <c r="F13" s="14" t="n">
        <f aca="false">J12</f>
        <v>9725896319.91</v>
      </c>
      <c r="G13" s="14" t="n">
        <f aca="false">F13*$B$13</f>
        <v>532050920.645073</v>
      </c>
      <c r="H13" s="14" t="n">
        <f aca="false">I13-G13</f>
        <v>598723421.334573</v>
      </c>
      <c r="I13" s="14" t="n">
        <f aca="false">$B$18+$B$17*(E13-1)</f>
        <v>1130774341.97965</v>
      </c>
      <c r="J13" s="14" t="n">
        <f aca="false">ROUND(F13-H13,2)</f>
        <v>9127172898.58</v>
      </c>
    </row>
    <row r="14" customFormat="false" ht="15" hidden="false" customHeight="false" outlineLevel="0" collapsed="false">
      <c r="A14" s="11" t="s">
        <v>201</v>
      </c>
      <c r="B14" s="20" t="n">
        <f aca="false">$B$7*4</f>
        <v>20</v>
      </c>
      <c r="E14" s="13" t="n">
        <v>10</v>
      </c>
      <c r="F14" s="14" t="n">
        <f aca="false">J13</f>
        <v>9127172898.58</v>
      </c>
      <c r="G14" s="14" t="n">
        <f aca="false">F14*$B$13</f>
        <v>499298016.742706</v>
      </c>
      <c r="H14" s="14" t="n">
        <f aca="false">I14-G14</f>
        <v>630626325.236939</v>
      </c>
      <c r="I14" s="14" t="n">
        <f aca="false">$B$18+$B$17*(E14-1)</f>
        <v>1129924341.97965</v>
      </c>
      <c r="J14" s="14" t="n">
        <f aca="false">ROUND(F14-H14,2)</f>
        <v>8496546573.34</v>
      </c>
    </row>
    <row r="15" customFormat="false" ht="15" hidden="false" customHeight="false" outlineLevel="0" collapsed="false">
      <c r="E15" s="13" t="n">
        <v>11</v>
      </c>
      <c r="F15" s="14" t="n">
        <f aca="false">J14</f>
        <v>8496546573.34</v>
      </c>
      <c r="G15" s="14" t="n">
        <f aca="false">F15*$B$13</f>
        <v>464799878.381915</v>
      </c>
      <c r="H15" s="14" t="n">
        <f aca="false">I15-G15</f>
        <v>664274463.59773</v>
      </c>
      <c r="I15" s="14" t="n">
        <f aca="false">$B$18+$B$17*(E15-1)</f>
        <v>1129074341.97965</v>
      </c>
      <c r="J15" s="14" t="n">
        <f aca="false">ROUND(F15-H15,2)</f>
        <v>7832272109.74</v>
      </c>
    </row>
    <row r="16" customFormat="false" ht="15" hidden="false" customHeight="false" outlineLevel="0" collapsed="false">
      <c r="A16" s="7" t="s">
        <v>128</v>
      </c>
      <c r="E16" s="13" t="n">
        <v>12</v>
      </c>
      <c r="F16" s="14" t="n">
        <f aca="false">J15</f>
        <v>7832272109.74</v>
      </c>
      <c r="G16" s="14" t="n">
        <f aca="false">F16*$B$13</f>
        <v>428461033.272505</v>
      </c>
      <c r="H16" s="14" t="n">
        <f aca="false">I16-G16</f>
        <v>699763308.70714</v>
      </c>
      <c r="I16" s="14" t="n">
        <f aca="false">$B$18+$B$17*(E16-1)</f>
        <v>1128224341.97965</v>
      </c>
      <c r="J16" s="14" t="n">
        <f aca="false">ROUND(F16-H16,2)</f>
        <v>7132508801.03</v>
      </c>
    </row>
    <row r="17" customFormat="false" ht="15" hidden="false" customHeight="false" outlineLevel="0" collapsed="false">
      <c r="A17" s="11" t="s">
        <v>207</v>
      </c>
      <c r="B17" s="12" t="n">
        <v>-850000</v>
      </c>
      <c r="E17" s="13" t="n">
        <v>13</v>
      </c>
      <c r="F17" s="14" t="n">
        <f aca="false">J16</f>
        <v>7132508801.03</v>
      </c>
      <c r="G17" s="14" t="n">
        <f aca="false">F17*$B$13</f>
        <v>390180786.353706</v>
      </c>
      <c r="H17" s="14" t="n">
        <f aca="false">I17-G17</f>
        <v>737193555.62594</v>
      </c>
      <c r="I17" s="14" t="n">
        <f aca="false">$B$18+$B$17*(E17-1)</f>
        <v>1127374341.97965</v>
      </c>
      <c r="J17" s="14" t="n">
        <f aca="false">ROUND(F17-H17,2)</f>
        <v>6395315245.4</v>
      </c>
    </row>
    <row r="18" customFormat="false" ht="15" hidden="false" customHeight="false" outlineLevel="0" collapsed="false">
      <c r="A18" s="11" t="s">
        <v>208</v>
      </c>
      <c r="B18" s="21" t="n">
        <f aca="false">($B$5-$B$17/$B$13*((1-(1+$B$13)^-$B$14)/$B$13-$B$14/(1+$B$13)^$B$14))/((1-(1+$B$13)^-$B$14)/$B$13)</f>
        <v>1137574341.97965</v>
      </c>
      <c r="C18" s="16" t="s">
        <v>209</v>
      </c>
      <c r="E18" s="13" t="n">
        <v>14</v>
      </c>
      <c r="F18" s="14" t="n">
        <f aca="false">J17</f>
        <v>6395315245.4</v>
      </c>
      <c r="G18" s="14" t="n">
        <f aca="false">F18*$B$13</f>
        <v>349852934.085362</v>
      </c>
      <c r="H18" s="14" t="n">
        <f aca="false">I18-G18</f>
        <v>776671407.894283</v>
      </c>
      <c r="I18" s="14" t="n">
        <f aca="false">$B$18+$B$17*(E18-1)</f>
        <v>1126524341.97965</v>
      </c>
      <c r="J18" s="14" t="n">
        <f aca="false">ROUND(F18-H18,2)</f>
        <v>5618643837.51</v>
      </c>
    </row>
    <row r="19" customFormat="false" ht="15" hidden="false" customHeight="false" outlineLevel="0" collapsed="false">
      <c r="E19" s="13" t="n">
        <v>15</v>
      </c>
      <c r="F19" s="14" t="n">
        <f aca="false">J18</f>
        <v>5618643837.51</v>
      </c>
      <c r="G19" s="14" t="n">
        <f aca="false">F19*$B$13</f>
        <v>307365463.109484</v>
      </c>
      <c r="H19" s="14" t="n">
        <f aca="false">I19-G19</f>
        <v>818308878.870162</v>
      </c>
      <c r="I19" s="14" t="n">
        <f aca="false">$B$18+$B$17*(E19-1)</f>
        <v>1125674341.97965</v>
      </c>
      <c r="J19" s="14" t="n">
        <f aca="false">ROUND(F19-H19,2)</f>
        <v>4800334958.64</v>
      </c>
    </row>
    <row r="20" customFormat="false" ht="15" hidden="false" customHeight="false" outlineLevel="0" collapsed="false">
      <c r="A20" s="7" t="s">
        <v>143</v>
      </c>
      <c r="E20" s="13" t="n">
        <v>16</v>
      </c>
      <c r="F20" s="14" t="n">
        <f aca="false">J19</f>
        <v>4800334958.64</v>
      </c>
      <c r="G20" s="14" t="n">
        <f aca="false">F20*$B$13</f>
        <v>262600232.42493</v>
      </c>
      <c r="H20" s="14" t="n">
        <f aca="false">I20-G20</f>
        <v>862224109.554715</v>
      </c>
      <c r="I20" s="14" t="n">
        <f aca="false">$B$18+$B$17*(E20-1)</f>
        <v>1124824341.97965</v>
      </c>
      <c r="J20" s="14" t="n">
        <f aca="false">ROUND(F20-H20,2)</f>
        <v>3938110849.09</v>
      </c>
    </row>
    <row r="21" customFormat="false" ht="15" hidden="false" customHeight="false" outlineLevel="0" collapsed="false">
      <c r="A21" s="11" t="s">
        <v>144</v>
      </c>
      <c r="B21" s="22" t="n">
        <f aca="false">SUM(G5:G24)</f>
        <v>9041190625.60215</v>
      </c>
      <c r="E21" s="13" t="n">
        <v>17</v>
      </c>
      <c r="F21" s="14" t="n">
        <f aca="false">J20</f>
        <v>3938110849.09</v>
      </c>
      <c r="G21" s="14" t="n">
        <f aca="false">F21*$B$13</f>
        <v>215432638.179724</v>
      </c>
      <c r="H21" s="14" t="n">
        <f aca="false">I21-G21</f>
        <v>908541703.799921</v>
      </c>
      <c r="I21" s="14" t="n">
        <f aca="false">$B$18+$B$17*(E21-1)</f>
        <v>1123974341.97965</v>
      </c>
      <c r="J21" s="14" t="n">
        <f aca="false">ROUND(F21-H21,2)</f>
        <v>3029569145.29</v>
      </c>
    </row>
    <row r="22" customFormat="false" ht="15" hidden="false" customHeight="false" outlineLevel="0" collapsed="false">
      <c r="A22" s="11" t="s">
        <v>145</v>
      </c>
      <c r="B22" s="14" t="n">
        <f aca="false">SUM(I5:I24)</f>
        <v>22589986839.5929</v>
      </c>
      <c r="E22" s="13" t="n">
        <v>18</v>
      </c>
      <c r="F22" s="14" t="n">
        <f aca="false">J21</f>
        <v>3029569145.29</v>
      </c>
      <c r="G22" s="14" t="n">
        <f aca="false">F22*$B$13</f>
        <v>165731260.12147</v>
      </c>
      <c r="H22" s="14" t="n">
        <f aca="false">I22-G22</f>
        <v>957393081.858175</v>
      </c>
      <c r="I22" s="14" t="n">
        <f aca="false">$B$18+$B$17*(E22-1)</f>
        <v>1123124341.97965</v>
      </c>
      <c r="J22" s="14" t="n">
        <f aca="false">ROUND(F22-H22,2)</f>
        <v>2072176063.43</v>
      </c>
    </row>
    <row r="23" customFormat="false" ht="15" hidden="false" customHeight="false" outlineLevel="0" collapsed="false">
      <c r="A23" s="11" t="s">
        <v>146</v>
      </c>
      <c r="B23" s="23" t="n">
        <f aca="false">J24</f>
        <v>0.01</v>
      </c>
      <c r="E23" s="13" t="n">
        <v>19</v>
      </c>
      <c r="F23" s="14" t="n">
        <f aca="false">J22</f>
        <v>2072176063.43</v>
      </c>
      <c r="G23" s="14" t="n">
        <f aca="false">F23*$B$13</f>
        <v>113357488.710801</v>
      </c>
      <c r="H23" s="14" t="n">
        <f aca="false">I23-G23</f>
        <v>1008916853.26884</v>
      </c>
      <c r="I23" s="14" t="n">
        <f aca="false">$B$18+$B$17*(E23-1)</f>
        <v>1122274341.97965</v>
      </c>
      <c r="J23" s="14" t="n">
        <f aca="false">ROUND(F23-H23,2)</f>
        <v>1063259210.16</v>
      </c>
    </row>
    <row r="24" customFormat="false" ht="15" hidden="false" customHeight="false" outlineLevel="0" collapsed="false">
      <c r="A24" s="11" t="s">
        <v>147</v>
      </c>
      <c r="B24" s="14" t="n">
        <f aca="false">NPV($B$13,I5:I24)</f>
        <v>13548796214</v>
      </c>
      <c r="E24" s="13" t="n">
        <v>20</v>
      </c>
      <c r="F24" s="14" t="n">
        <f aca="false">J23</f>
        <v>1063259210.16</v>
      </c>
      <c r="G24" s="14" t="n">
        <f aca="false">F24*$B$13</f>
        <v>58165131.8338561</v>
      </c>
      <c r="H24" s="14" t="n">
        <f aca="false">I24-G24</f>
        <v>1063259210.14579</v>
      </c>
      <c r="I24" s="14" t="n">
        <f aca="false">$B$18+$B$17*(E24-1)</f>
        <v>1121424341.97965</v>
      </c>
      <c r="J24" s="14" t="n">
        <f aca="false">ROUND(F24-H24,2)</f>
        <v>0.01</v>
      </c>
    </row>
    <row r="25" customFormat="false" ht="15" hidden="false" customHeight="false" outlineLevel="0" collapsed="false">
      <c r="A25" s="11" t="s">
        <v>148</v>
      </c>
      <c r="B25" s="24" t="str">
        <f aca="false">IF(AND(ABS(J24)&lt;1,ABS(B24-$B$5)&lt;1),"Tabla correcta","Revisar")</f>
        <v>Tabla correcta</v>
      </c>
    </row>
    <row r="26" customFormat="false" ht="15" hidden="false" customHeight="false" outlineLevel="0" collapsed="false">
      <c r="A26" s="11" t="s">
        <v>211</v>
      </c>
      <c r="B26" s="22" t="n">
        <f aca="false">$B$18+$B$17*($B$14-1)</f>
        <v>1121424341.97965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2026-10-12T01:13:32Z</dcterms:created>
  <dc:creator>openpyxl</dc:creator>
  <dc:description/>
  <dc:language>en-US</dc:language>
  <cp:lastModifiedBy/>
  <dcterms:modified xsi:type="dcterms:W3CDTF">2026-10-11T20:13:34Z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